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DDFAAC2-52C0-4C01-8FF0-5693D884B40E}"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ЛЭП'!$A$1:$AA$37</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закупке'!$A$1:$AV$33</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D109" i="52" l="1"/>
  <c r="I114" i="52"/>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AT114" i="52" s="1"/>
  <c r="AU114" i="52" s="1"/>
  <c r="AV114" i="52" s="1"/>
  <c r="AW114" i="52" s="1"/>
  <c r="AX114" i="52" s="1"/>
  <c r="AY114" i="52" s="1"/>
  <c r="AZ114" i="52" s="1"/>
  <c r="BA114" i="52" s="1"/>
  <c r="BB114" i="52" s="1"/>
  <c r="BC114" i="52" s="1"/>
  <c r="BD114" i="52" s="1"/>
  <c r="BE114" i="52" s="1"/>
  <c r="BF114" i="52" s="1"/>
  <c r="BG114" i="52" s="1"/>
  <c r="BH114" i="52" s="1"/>
  <c r="BI114" i="52" s="1"/>
  <c r="H114" i="52"/>
  <c r="B94" i="53" l="1"/>
  <c r="B96" i="53"/>
  <c r="B92" i="53"/>
  <c r="B91" i="53"/>
  <c r="B33" i="53" l="1"/>
  <c r="J29" i="5"/>
  <c r="I29" i="5"/>
  <c r="G29" i="5"/>
  <c r="D29" i="5"/>
  <c r="J26" i="5"/>
  <c r="I26" i="5"/>
  <c r="D26" i="5"/>
  <c r="M30" i="15"/>
  <c r="B81" i="52"/>
  <c r="B25" i="52"/>
  <c r="AD29" i="5" l="1"/>
  <c r="N56" i="15" l="1"/>
  <c r="N54" i="15"/>
  <c r="N49" i="15"/>
  <c r="O49" i="15" s="1"/>
  <c r="N48" i="15"/>
  <c r="O48" i="15" s="1"/>
  <c r="N47" i="15"/>
  <c r="O47" i="15" s="1"/>
  <c r="N45" i="15"/>
  <c r="O45" i="15" s="1"/>
  <c r="O64" i="15"/>
  <c r="O63" i="15"/>
  <c r="O62" i="15"/>
  <c r="O61" i="15"/>
  <c r="O60" i="15"/>
  <c r="O59" i="15"/>
  <c r="O58" i="15"/>
  <c r="O57" i="15"/>
  <c r="O56" i="15"/>
  <c r="O55" i="15"/>
  <c r="O54" i="15"/>
  <c r="O53" i="15"/>
  <c r="O51" i="15"/>
  <c r="O50" i="15"/>
  <c r="O46" i="15"/>
  <c r="O44" i="15"/>
  <c r="O43" i="15"/>
  <c r="O42" i="15"/>
  <c r="O41" i="15"/>
  <c r="O40" i="15"/>
  <c r="O39" i="15"/>
  <c r="O38" i="15"/>
  <c r="O37" i="15"/>
  <c r="O36" i="15"/>
  <c r="O52" i="15"/>
  <c r="N52" i="15"/>
  <c r="R44" i="14"/>
  <c r="R45" i="14"/>
  <c r="Q43" i="14"/>
  <c r="R42" i="14"/>
  <c r="S41" i="14"/>
  <c r="Q41" i="14"/>
  <c r="R41" i="14"/>
  <c r="R40" i="14"/>
  <c r="Q40" i="14"/>
  <c r="S38" i="14"/>
  <c r="R38" i="14"/>
  <c r="Q38" i="14"/>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G26" i="5" l="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30" i="15"/>
  <c r="C81" i="52" s="1"/>
  <c r="N24" i="15"/>
  <c r="F139" i="52" l="1"/>
  <c r="G139" i="52" s="1"/>
  <c r="H139" i="52" s="1"/>
  <c r="I139" i="52" s="1"/>
  <c r="J139" i="52" s="1"/>
  <c r="K139" i="52" s="1"/>
  <c r="L139" i="52" s="1"/>
  <c r="M139" i="52" s="1"/>
  <c r="AD26" i="5" l="1"/>
  <c r="AD34" i="5" s="1"/>
  <c r="B29" i="53" s="1"/>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B73" i="52"/>
  <c r="C48" i="52"/>
  <c r="D48" i="52"/>
  <c r="E48" i="52"/>
  <c r="F48" i="52"/>
  <c r="G48" i="52"/>
  <c r="H48" i="52"/>
  <c r="B49" i="52"/>
  <c r="B48" i="52"/>
  <c r="D110" i="52"/>
  <c r="C107" i="52"/>
  <c r="B110" i="53" l="1"/>
  <c r="E30" i="15" l="1"/>
  <c r="C96" i="53"/>
  <c r="E24" i="15"/>
  <c r="C94" i="53"/>
  <c r="B88" i="53" s="1"/>
  <c r="AC64" i="15"/>
  <c r="AB64" i="15"/>
  <c r="AC63" i="15"/>
  <c r="AB63" i="15"/>
  <c r="AC62" i="15"/>
  <c r="AB62" i="15"/>
  <c r="AC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L30" i="15"/>
  <c r="AC31" i="15"/>
  <c r="AB31" i="15"/>
  <c r="AA30" i="15"/>
  <c r="Z30" i="15"/>
  <c r="Y30" i="15"/>
  <c r="X30" i="15"/>
  <c r="W30" i="15"/>
  <c r="V30" i="15"/>
  <c r="U30" i="15"/>
  <c r="T30" i="15"/>
  <c r="S30" i="15"/>
  <c r="R30" i="15"/>
  <c r="Q30" i="15"/>
  <c r="P30" i="15"/>
  <c r="O30" i="15"/>
  <c r="AC30" i="15"/>
  <c r="C49" i="7" s="1"/>
  <c r="H30" i="15"/>
  <c r="G30" i="15"/>
  <c r="AC29" i="15"/>
  <c r="AB29" i="15"/>
  <c r="AC28" i="15"/>
  <c r="AB28" i="15"/>
  <c r="AC27" i="15"/>
  <c r="AB27" i="15"/>
  <c r="AC26" i="15"/>
  <c r="AB26" i="15"/>
  <c r="AC25" i="15"/>
  <c r="AB25" i="15"/>
  <c r="AA24" i="15"/>
  <c r="Z24" i="15"/>
  <c r="Y24" i="15"/>
  <c r="X24" i="15"/>
  <c r="W24" i="15"/>
  <c r="V24" i="15"/>
  <c r="U24" i="15"/>
  <c r="T24" i="15"/>
  <c r="S24" i="15"/>
  <c r="R24" i="15"/>
  <c r="Q24" i="15"/>
  <c r="P24" i="15"/>
  <c r="O24" i="15"/>
  <c r="M24" i="15"/>
  <c r="L24" i="15"/>
  <c r="H24" i="15"/>
  <c r="G24" i="15"/>
  <c r="D119" i="52"/>
  <c r="B119" i="52"/>
  <c r="AB24" i="15" l="1"/>
  <c r="AC24" i="15"/>
  <c r="C48" i="7" s="1"/>
  <c r="AB30" i="15"/>
  <c r="AB32" i="15"/>
  <c r="A5" i="16"/>
  <c r="A12" i="16"/>
  <c r="A15" i="16"/>
  <c r="B22" i="53" l="1"/>
  <c r="A15" i="53"/>
  <c r="B21" i="53" s="1"/>
  <c r="A12" i="53"/>
  <c r="A5" i="53"/>
  <c r="P26" i="13"/>
  <c r="B24" i="53" s="1"/>
  <c r="B125" i="52"/>
  <c r="B27" i="53" s="1"/>
  <c r="B66" i="53"/>
  <c r="B49" i="53"/>
  <c r="B32" i="53"/>
  <c r="A14" i="15"/>
  <c r="A11" i="15"/>
  <c r="A8" i="15"/>
  <c r="A4" i="15"/>
  <c r="C50" i="15"/>
  <c r="C49" i="15"/>
  <c r="C48" i="15"/>
  <c r="AB48" i="15" s="1"/>
  <c r="C47" i="15"/>
  <c r="C46" i="15"/>
  <c r="AB46" i="15" s="1"/>
  <c r="C45" i="15"/>
  <c r="C44" i="15"/>
  <c r="AB44" i="15" s="1"/>
  <c r="C30" i="15"/>
  <c r="C52" i="15" s="1"/>
  <c r="AB52" i="15" s="1"/>
  <c r="C24" i="15"/>
  <c r="B34" i="53" l="1"/>
  <c r="B90" i="53"/>
  <c r="AB45" i="15"/>
  <c r="AB49" i="15"/>
  <c r="C57" i="15"/>
  <c r="AB57" i="15" s="1"/>
  <c r="AB50" i="15"/>
  <c r="AB47" i="15"/>
  <c r="B72" i="53"/>
  <c r="B93" i="53"/>
  <c r="B95" i="53"/>
  <c r="B30" i="53"/>
  <c r="B83" i="53" s="1"/>
  <c r="B38" i="53"/>
  <c r="B51" i="53"/>
  <c r="B80" i="53"/>
  <c r="B63" i="53"/>
  <c r="B42" i="53"/>
  <c r="B55" i="53"/>
  <c r="B68" i="53"/>
  <c r="B87" i="53" s="1"/>
  <c r="B76" i="53"/>
  <c r="B46" i="53"/>
  <c r="B59" i="53"/>
  <c r="C56" i="15"/>
  <c r="AB56" i="15" s="1"/>
  <c r="C54" i="15"/>
  <c r="C61" i="15" l="1"/>
  <c r="AB61" i="15" s="1"/>
  <c r="AB54" i="15"/>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D67" i="52" s="1"/>
  <c r="A7" i="52"/>
  <c r="D140" i="52" l="1"/>
  <c r="D49" i="52" s="1"/>
  <c r="C49" i="52"/>
  <c r="AQ81" i="52"/>
  <c r="B50" i="52"/>
  <c r="B59" i="52" s="1"/>
  <c r="G123" i="52"/>
  <c r="D58" i="52"/>
  <c r="D52" i="52" s="1"/>
  <c r="C74" i="52"/>
  <c r="C47" i="52"/>
  <c r="B29" i="52"/>
  <c r="B46" i="52"/>
  <c r="D111" i="52"/>
  <c r="C108" i="52"/>
  <c r="C143" i="52"/>
  <c r="C144" i="52" s="1"/>
  <c r="C50" i="52" l="1"/>
  <c r="C59" i="52" s="1"/>
  <c r="B85" i="52"/>
  <c r="B99" i="52" s="1"/>
  <c r="C73" i="52"/>
  <c r="E140" i="52"/>
  <c r="E49" i="52" s="1"/>
  <c r="D76" i="52"/>
  <c r="B80" i="52"/>
  <c r="B66" i="52"/>
  <c r="B68" i="52" s="1"/>
  <c r="B75" i="52" s="1"/>
  <c r="C76" i="52"/>
  <c r="C61" i="52"/>
  <c r="C60" i="52" s="1"/>
  <c r="C66" i="52" s="1"/>
  <c r="C68" i="52" s="1"/>
  <c r="E58" i="52"/>
  <c r="F58" i="52" s="1"/>
  <c r="B54" i="52"/>
  <c r="B55" i="52" s="1"/>
  <c r="B56" i="52" s="1"/>
  <c r="B69" i="52" s="1"/>
  <c r="B77" i="52" s="1"/>
  <c r="D74" i="52"/>
  <c r="D47" i="52"/>
  <c r="C80" i="52"/>
  <c r="F140" i="52"/>
  <c r="F49" i="52" s="1"/>
  <c r="E111" i="52"/>
  <c r="D108" i="52"/>
  <c r="D143" i="52"/>
  <c r="E67" i="52" l="1"/>
  <c r="F67" i="52" s="1"/>
  <c r="F76" i="52" s="1"/>
  <c r="E74" i="52"/>
  <c r="E76" i="52"/>
  <c r="E47" i="52"/>
  <c r="E52" i="52"/>
  <c r="D61" i="52"/>
  <c r="D60" i="52" s="1"/>
  <c r="B82" i="52"/>
  <c r="E143" i="52"/>
  <c r="E144" i="52" s="1"/>
  <c r="F111" i="52"/>
  <c r="E108" i="52"/>
  <c r="G58" i="52"/>
  <c r="F52" i="52"/>
  <c r="F47" i="52"/>
  <c r="F74" i="52"/>
  <c r="B70" i="52"/>
  <c r="G67" i="52"/>
  <c r="G140" i="52"/>
  <c r="G49" i="52" s="1"/>
  <c r="C75" i="52"/>
  <c r="C53" i="52"/>
  <c r="D144" i="52"/>
  <c r="D50" i="52"/>
  <c r="D59" i="52" s="1"/>
  <c r="E73" i="52" l="1"/>
  <c r="C85" i="52"/>
  <c r="C99" i="52" s="1"/>
  <c r="D73" i="52"/>
  <c r="D85" i="52" s="1"/>
  <c r="D99" i="52" s="1"/>
  <c r="E61" i="52"/>
  <c r="E60" i="52" s="1"/>
  <c r="E50" i="52"/>
  <c r="E59" i="52" s="1"/>
  <c r="H140" i="52"/>
  <c r="H49" i="52" s="1"/>
  <c r="F61" i="52"/>
  <c r="F60" i="52" s="1"/>
  <c r="D80" i="52"/>
  <c r="D66" i="52"/>
  <c r="D68" i="52" s="1"/>
  <c r="I48" i="52"/>
  <c r="G111" i="52"/>
  <c r="F108" i="52"/>
  <c r="C55" i="52"/>
  <c r="D53" i="52" s="1"/>
  <c r="G76" i="52"/>
  <c r="H67" i="52"/>
  <c r="B71" i="52"/>
  <c r="B72" i="52" s="1"/>
  <c r="G74" i="52"/>
  <c r="H58" i="52"/>
  <c r="G47" i="52"/>
  <c r="G52" i="52"/>
  <c r="F143" i="52"/>
  <c r="G143" i="52" l="1"/>
  <c r="G144" i="52" s="1"/>
  <c r="F144" i="52"/>
  <c r="I67" i="52"/>
  <c r="H76" i="52"/>
  <c r="F50" i="52"/>
  <c r="F59" i="52" s="1"/>
  <c r="I140" i="52"/>
  <c r="I49" i="52" s="1"/>
  <c r="G61" i="52"/>
  <c r="G60" i="52" s="1"/>
  <c r="H74" i="52"/>
  <c r="I58" i="52"/>
  <c r="H52" i="52"/>
  <c r="H47" i="52"/>
  <c r="D55" i="52"/>
  <c r="E53" i="52" s="1"/>
  <c r="J48" i="52"/>
  <c r="D75" i="52"/>
  <c r="B78" i="52"/>
  <c r="H111" i="52"/>
  <c r="G108" i="52"/>
  <c r="E80" i="52"/>
  <c r="E66" i="52"/>
  <c r="E68" i="52" s="1"/>
  <c r="C82" i="52"/>
  <c r="C56" i="52"/>
  <c r="C69" i="52" s="1"/>
  <c r="E85" i="52" l="1"/>
  <c r="E99" i="52" s="1"/>
  <c r="F73" i="52"/>
  <c r="F85" i="52" s="1"/>
  <c r="F99" i="52" s="1"/>
  <c r="G73" i="52"/>
  <c r="G50" i="52"/>
  <c r="G59" i="52" s="1"/>
  <c r="G66" i="52" s="1"/>
  <c r="G68" i="52" s="1"/>
  <c r="E55" i="52"/>
  <c r="C77" i="52"/>
  <c r="C70" i="52"/>
  <c r="I74" i="52"/>
  <c r="J58" i="52"/>
  <c r="I52" i="52"/>
  <c r="I47" i="52"/>
  <c r="F80" i="52"/>
  <c r="F66" i="52"/>
  <c r="F68" i="52" s="1"/>
  <c r="J67" i="52"/>
  <c r="I76" i="52"/>
  <c r="I111" i="52"/>
  <c r="H108" i="52"/>
  <c r="H143" i="52"/>
  <c r="D82" i="52"/>
  <c r="D56" i="52"/>
  <c r="D69" i="52" s="1"/>
  <c r="E75" i="52"/>
  <c r="K48" i="52"/>
  <c r="J140" i="52"/>
  <c r="J49" i="52" s="1"/>
  <c r="H61" i="52"/>
  <c r="H60" i="52" s="1"/>
  <c r="G80" i="52" l="1"/>
  <c r="I143" i="52"/>
  <c r="L48" i="52"/>
  <c r="H50" i="52"/>
  <c r="H59" i="52" s="1"/>
  <c r="G75" i="52"/>
  <c r="K67" i="52"/>
  <c r="J76" i="52"/>
  <c r="J111" i="52"/>
  <c r="I108" i="52"/>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0" i="52"/>
  <c r="I59" i="52" s="1"/>
  <c r="L140" i="52"/>
  <c r="L49" i="52" s="1"/>
  <c r="J60" i="52"/>
  <c r="K76" i="52"/>
  <c r="L67" i="52"/>
  <c r="D71" i="52"/>
  <c r="D72" i="52" s="1"/>
  <c r="K111" i="52"/>
  <c r="J108" i="52"/>
  <c r="J50" i="52" s="1"/>
  <c r="J59" i="52" s="1"/>
  <c r="M48" i="52"/>
  <c r="F55" i="52"/>
  <c r="J143" i="52"/>
  <c r="C78" i="52"/>
  <c r="E77" i="52"/>
  <c r="E70" i="52"/>
  <c r="I144" i="52"/>
  <c r="H85" i="52" l="1"/>
  <c r="H99" i="52" s="1"/>
  <c r="I73" i="52"/>
  <c r="D78" i="52"/>
  <c r="K143" i="52"/>
  <c r="L76" i="52"/>
  <c r="M67" i="52"/>
  <c r="E71" i="52"/>
  <c r="N139" i="52"/>
  <c r="N48" i="52" s="1"/>
  <c r="I80" i="52"/>
  <c r="I66" i="52"/>
  <c r="I68" i="52" s="1"/>
  <c r="H75" i="52"/>
  <c r="F82" i="52"/>
  <c r="F56" i="52"/>
  <c r="F69" i="52" s="1"/>
  <c r="M140" i="52"/>
  <c r="M49" i="52" s="1"/>
  <c r="K60" i="52"/>
  <c r="G53" i="52"/>
  <c r="J80" i="52"/>
  <c r="J66" i="52"/>
  <c r="J68" i="52" s="1"/>
  <c r="L74" i="52"/>
  <c r="M58" i="52"/>
  <c r="L52" i="52"/>
  <c r="L47" i="52"/>
  <c r="L111" i="52"/>
  <c r="K108" i="52"/>
  <c r="J144" i="52"/>
  <c r="I85" i="52" l="1"/>
  <c r="I99" i="52" s="1"/>
  <c r="J73" i="52"/>
  <c r="K50" i="52"/>
  <c r="K59" i="52" s="1"/>
  <c r="N67" i="52"/>
  <c r="M76" i="52"/>
  <c r="M111" i="52"/>
  <c r="L108" i="52"/>
  <c r="J75" i="52"/>
  <c r="O139" i="52"/>
  <c r="O48" i="52" s="1"/>
  <c r="N140" i="52"/>
  <c r="N49" i="52" s="1"/>
  <c r="L60" i="52"/>
  <c r="I75" i="52"/>
  <c r="E78" i="52"/>
  <c r="L143" i="52"/>
  <c r="L144" i="52" s="1"/>
  <c r="M74" i="52"/>
  <c r="N58" i="52"/>
  <c r="M52" i="52"/>
  <c r="M47" i="52"/>
  <c r="G55" i="52"/>
  <c r="H53" i="52" s="1"/>
  <c r="F77" i="52"/>
  <c r="F70" i="52"/>
  <c r="E72" i="52"/>
  <c r="K144" i="52"/>
  <c r="L73" i="52" l="1"/>
  <c r="J85" i="52"/>
  <c r="J99" i="52" s="1"/>
  <c r="K73" i="52"/>
  <c r="K85" i="52" s="1"/>
  <c r="K99" i="52" s="1"/>
  <c r="O140" i="52"/>
  <c r="O49" i="52" s="1"/>
  <c r="M60" i="52"/>
  <c r="M143" i="52"/>
  <c r="M144" i="52" s="1"/>
  <c r="N76" i="52"/>
  <c r="O67" i="52"/>
  <c r="H55" i="52"/>
  <c r="G82" i="52"/>
  <c r="G56" i="52"/>
  <c r="G69" i="52" s="1"/>
  <c r="O58" i="52"/>
  <c r="N52" i="52"/>
  <c r="N47" i="52"/>
  <c r="N74" i="52"/>
  <c r="P139" i="52"/>
  <c r="P48" i="52" s="1"/>
  <c r="L50" i="52"/>
  <c r="L59" i="52" s="1"/>
  <c r="K80" i="52"/>
  <c r="K66" i="52"/>
  <c r="K68" i="52" s="1"/>
  <c r="N111" i="52"/>
  <c r="M108" i="52"/>
  <c r="F71" i="52"/>
  <c r="F72" i="52" s="1"/>
  <c r="L85" i="52" l="1"/>
  <c r="L99" i="52" s="1"/>
  <c r="M73" i="52"/>
  <c r="M50" i="52"/>
  <c r="M59" i="52" s="1"/>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N50" i="52" s="1"/>
  <c r="N59" i="52" s="1"/>
  <c r="I53" i="52"/>
  <c r="M85" i="52" l="1"/>
  <c r="M99" i="52" s="1"/>
  <c r="N73" i="52"/>
  <c r="M66" i="52"/>
  <c r="M68" i="52" s="1"/>
  <c r="M75" i="52" s="1"/>
  <c r="P111" i="52"/>
  <c r="O108" i="52"/>
  <c r="L75" i="52"/>
  <c r="G71" i="52"/>
  <c r="G72" i="52" s="1"/>
  <c r="P74" i="52"/>
  <c r="Q58" i="52"/>
  <c r="P52" i="52"/>
  <c r="P47" i="52"/>
  <c r="I55" i="52"/>
  <c r="J53" i="52" s="1"/>
  <c r="Q140" i="52"/>
  <c r="Q49" i="52" s="1"/>
  <c r="O60" i="52"/>
  <c r="R139" i="52"/>
  <c r="R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S48" i="52" s="1"/>
  <c r="O50" i="52"/>
  <c r="O59" i="52" s="1"/>
  <c r="I82" i="52"/>
  <c r="I56" i="52"/>
  <c r="I69" i="52" s="1"/>
  <c r="H71" i="52"/>
  <c r="H72" i="52" s="1"/>
  <c r="N75" i="52"/>
  <c r="R140" i="52"/>
  <c r="R49" i="52" s="1"/>
  <c r="P60" i="52"/>
  <c r="G78" i="52"/>
  <c r="Q111" i="52"/>
  <c r="P108" i="52"/>
  <c r="O85" i="52" l="1"/>
  <c r="O99" i="52" s="1"/>
  <c r="P73" i="52"/>
  <c r="H78" i="52"/>
  <c r="K55" i="52"/>
  <c r="L53" i="52" s="1"/>
  <c r="S140" i="52"/>
  <c r="S49" i="52" s="1"/>
  <c r="Q60" i="52"/>
  <c r="O80" i="52"/>
  <c r="O66" i="52"/>
  <c r="O68" i="52" s="1"/>
  <c r="Q143" i="52"/>
  <c r="Q144" i="52" s="1"/>
  <c r="R111" i="52"/>
  <c r="Q108" i="52"/>
  <c r="R76" i="52"/>
  <c r="S67" i="52"/>
  <c r="S58" i="52"/>
  <c r="R52" i="52"/>
  <c r="R47" i="52"/>
  <c r="R74" i="52"/>
  <c r="P50" i="52"/>
  <c r="P59" i="52" s="1"/>
  <c r="I77" i="52"/>
  <c r="I70" i="52"/>
  <c r="T139" i="52"/>
  <c r="T48" i="52" s="1"/>
  <c r="J82" i="52"/>
  <c r="J56" i="52"/>
  <c r="J69" i="52" s="1"/>
  <c r="P85" i="52" l="1"/>
  <c r="P99" i="52" s="1"/>
  <c r="Q73" i="52"/>
  <c r="Q50" i="52"/>
  <c r="Q59" i="52" s="1"/>
  <c r="T140" i="52"/>
  <c r="T49" i="52" s="1"/>
  <c r="S111" i="52"/>
  <c r="R108" i="52"/>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S108" i="52"/>
  <c r="T74" i="52"/>
  <c r="U58" i="52"/>
  <c r="T52" i="52"/>
  <c r="T47" i="52"/>
  <c r="J71" i="52"/>
  <c r="J78" i="52" s="1"/>
  <c r="L82" i="52"/>
  <c r="L56" i="52"/>
  <c r="L69" i="52" s="1"/>
  <c r="K77" i="52"/>
  <c r="K70" i="52"/>
  <c r="R50" i="52"/>
  <c r="R59" i="52" s="1"/>
  <c r="Q80" i="52"/>
  <c r="Q66" i="52"/>
  <c r="Q68" i="52" s="1"/>
  <c r="R85" i="52" l="1"/>
  <c r="R99" i="52" s="1"/>
  <c r="S73" i="52"/>
  <c r="U111" i="52"/>
  <c r="T108" i="52"/>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0" i="52"/>
  <c r="S59" i="52" s="1"/>
  <c r="T143" i="52"/>
  <c r="N53" i="52"/>
  <c r="K72" i="52" l="1"/>
  <c r="N55" i="52"/>
  <c r="O53" i="52" s="1"/>
  <c r="M77" i="52"/>
  <c r="M70" i="52"/>
  <c r="T50" i="52"/>
  <c r="T59" i="52" s="1"/>
  <c r="U143" i="52"/>
  <c r="L71" i="52"/>
  <c r="L78" i="52" s="1"/>
  <c r="V76" i="52"/>
  <c r="W67" i="52"/>
  <c r="W58" i="52"/>
  <c r="V52" i="52"/>
  <c r="V47" i="52"/>
  <c r="V74" i="52"/>
  <c r="S80" i="52"/>
  <c r="S66" i="52"/>
  <c r="S68" i="52" s="1"/>
  <c r="X139" i="52"/>
  <c r="X48" i="52" s="1"/>
  <c r="R75" i="52"/>
  <c r="T144" i="52"/>
  <c r="W140" i="52"/>
  <c r="W49" i="52" s="1"/>
  <c r="U60" i="52"/>
  <c r="U108" i="52"/>
  <c r="V111" i="52"/>
  <c r="S85" i="52" l="1"/>
  <c r="S99" i="52" s="1"/>
  <c r="T73" i="52"/>
  <c r="U50" i="52"/>
  <c r="U59" i="52" s="1"/>
  <c r="U66" i="52" s="1"/>
  <c r="U68" i="52" s="1"/>
  <c r="L72" i="52"/>
  <c r="O55" i="52"/>
  <c r="P53" i="52" s="1"/>
  <c r="W111" i="52"/>
  <c r="V108" i="52"/>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V73" i="52" l="1"/>
  <c r="T85" i="52"/>
  <c r="T99" i="52" s="1"/>
  <c r="U73" i="52"/>
  <c r="U85" i="52" s="1"/>
  <c r="U99" i="52" s="1"/>
  <c r="U80" i="52"/>
  <c r="V50" i="52"/>
  <c r="V59" i="52" s="1"/>
  <c r="V80" i="52" s="1"/>
  <c r="M72" i="52"/>
  <c r="Y140" i="52"/>
  <c r="Y49" i="52" s="1"/>
  <c r="W60" i="52"/>
  <c r="N77" i="52"/>
  <c r="N70" i="52"/>
  <c r="T75" i="52"/>
  <c r="X74" i="52"/>
  <c r="Y58" i="52"/>
  <c r="X52" i="52"/>
  <c r="X47" i="52"/>
  <c r="P55" i="52"/>
  <c r="Q53" i="52" s="1"/>
  <c r="Z139" i="52"/>
  <c r="Z48" i="52" s="1"/>
  <c r="X111" i="52"/>
  <c r="W108" i="52"/>
  <c r="Y67" i="52"/>
  <c r="X76" i="52"/>
  <c r="W143" i="52"/>
  <c r="W144" i="52" s="1"/>
  <c r="U75" i="52"/>
  <c r="O82" i="52"/>
  <c r="O56" i="52"/>
  <c r="O69" i="52" s="1"/>
  <c r="V85" i="52" l="1"/>
  <c r="V99" i="52" s="1"/>
  <c r="W73" i="52"/>
  <c r="V66" i="52"/>
  <c r="V68" i="52" s="1"/>
  <c r="V75" i="52" s="1"/>
  <c r="W50" i="52"/>
  <c r="W59" i="52" s="1"/>
  <c r="W66" i="52" s="1"/>
  <c r="W68" i="52" s="1"/>
  <c r="O77" i="52"/>
  <c r="O70" i="52"/>
  <c r="X143" i="52"/>
  <c r="X144" i="52" s="1"/>
  <c r="Y76" i="52"/>
  <c r="Z67" i="52"/>
  <c r="AA139" i="52"/>
  <c r="AA48" i="52" s="1"/>
  <c r="Y74" i="52"/>
  <c r="Z58" i="52"/>
  <c r="Y52" i="52"/>
  <c r="Y47" i="52"/>
  <c r="N71" i="52"/>
  <c r="N78" i="52" s="1"/>
  <c r="Z140" i="52"/>
  <c r="Z49" i="52" s="1"/>
  <c r="X60" i="52"/>
  <c r="Y111" i="52"/>
  <c r="X108" i="52"/>
  <c r="P82" i="52"/>
  <c r="P56" i="52"/>
  <c r="P69" i="52" s="1"/>
  <c r="Q55" i="52"/>
  <c r="R53" i="52" s="1"/>
  <c r="W85" i="52" l="1"/>
  <c r="W99" i="52" s="1"/>
  <c r="X73" i="52"/>
  <c r="X50" i="52"/>
  <c r="X59" i="52" s="1"/>
  <c r="X66" i="52" s="1"/>
  <c r="X68" i="52" s="1"/>
  <c r="W80" i="52"/>
  <c r="R55" i="52"/>
  <c r="P77" i="52"/>
  <c r="P70" i="52"/>
  <c r="N72" i="52"/>
  <c r="AB139" i="52"/>
  <c r="AB48" i="52" s="1"/>
  <c r="Y143" i="52"/>
  <c r="W75" i="52"/>
  <c r="Z76" i="52"/>
  <c r="AA67" i="52"/>
  <c r="O71" i="52"/>
  <c r="O78" i="52" s="1"/>
  <c r="Z111" i="52"/>
  <c r="Y108" i="52"/>
  <c r="AA58" i="52"/>
  <c r="Z52" i="52"/>
  <c r="Z47" i="52"/>
  <c r="Z74" i="52"/>
  <c r="Q56" i="52"/>
  <c r="Q69" i="52" s="1"/>
  <c r="Q82" i="52"/>
  <c r="AA140" i="52"/>
  <c r="AA49" i="52" s="1"/>
  <c r="Y60" i="52"/>
  <c r="X80" i="52" l="1"/>
  <c r="AA111" i="52"/>
  <c r="Z108" i="52"/>
  <c r="Z143" i="52"/>
  <c r="Z144" i="52" s="1"/>
  <c r="R82" i="52"/>
  <c r="R56" i="52"/>
  <c r="R69" i="52" s="1"/>
  <c r="AB140" i="52"/>
  <c r="AB49" i="52" s="1"/>
  <c r="Z61" i="52"/>
  <c r="Z60" i="52" s="1"/>
  <c r="Y144" i="52"/>
  <c r="P71" i="52"/>
  <c r="P78" i="52" s="1"/>
  <c r="Q77" i="52"/>
  <c r="Q70" i="52"/>
  <c r="AA74" i="52"/>
  <c r="AB58" i="52"/>
  <c r="AA52" i="52"/>
  <c r="AA47" i="52"/>
  <c r="O72" i="52"/>
  <c r="X75" i="52"/>
  <c r="Y50" i="52"/>
  <c r="Y59" i="52" s="1"/>
  <c r="AA76" i="52"/>
  <c r="AB67" i="52"/>
  <c r="AQ67" i="52"/>
  <c r="AC139" i="52"/>
  <c r="AC48" i="52" s="1"/>
  <c r="S53" i="52"/>
  <c r="Z73" i="52" l="1"/>
  <c r="X85" i="52"/>
  <c r="X99" i="52" s="1"/>
  <c r="Y73" i="52"/>
  <c r="Y85" i="52" s="1"/>
  <c r="Y99" i="52" s="1"/>
  <c r="Z50" i="52"/>
  <c r="Z59" i="52" s="1"/>
  <c r="Z66" i="52" s="1"/>
  <c r="Z68"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A108" i="52"/>
  <c r="Z85" i="52" l="1"/>
  <c r="Z99" i="52" s="1"/>
  <c r="AA73" i="52"/>
  <c r="Z80" i="52"/>
  <c r="Q72" i="52"/>
  <c r="AC111" i="52"/>
  <c r="AB108" i="52"/>
  <c r="AA50" i="52"/>
  <c r="AA59" i="52" s="1"/>
  <c r="R71" i="52"/>
  <c r="R78" i="52" s="1"/>
  <c r="Z75" i="52"/>
  <c r="S82" i="52"/>
  <c r="S56" i="52"/>
  <c r="S69" i="52" s="1"/>
  <c r="AC74" i="52"/>
  <c r="AD58" i="52"/>
  <c r="AC52" i="52"/>
  <c r="AC47" i="52"/>
  <c r="AB143" i="52"/>
  <c r="AC76" i="52"/>
  <c r="AD67" i="52"/>
  <c r="AE139" i="52"/>
  <c r="AE48" i="52" s="1"/>
  <c r="T55" i="52"/>
  <c r="U53" i="52" s="1"/>
  <c r="AD140" i="52"/>
  <c r="AD49" i="52" s="1"/>
  <c r="AB60" i="52"/>
  <c r="Y75" i="52"/>
  <c r="AB50" i="52" l="1"/>
  <c r="AB59" i="52" s="1"/>
  <c r="AB80"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C108" i="52"/>
  <c r="AD111" i="52"/>
  <c r="AA85" i="52" l="1"/>
  <c r="AA99" i="52" s="1"/>
  <c r="AB73" i="52"/>
  <c r="AB85" i="52" s="1"/>
  <c r="AB99" i="52" s="1"/>
  <c r="AC73" i="52"/>
  <c r="AB66" i="52"/>
  <c r="AB68" i="52" s="1"/>
  <c r="AB75" i="52" s="1"/>
  <c r="AC50" i="52"/>
  <c r="AC59" i="52" s="1"/>
  <c r="AC80" i="52" s="1"/>
  <c r="V55" i="52"/>
  <c r="W53" i="52" s="1"/>
  <c r="AF140" i="52"/>
  <c r="AF49" i="52" s="1"/>
  <c r="AD60" i="52"/>
  <c r="AE76" i="52"/>
  <c r="AF67" i="52"/>
  <c r="S71" i="52"/>
  <c r="S78" i="52" s="1"/>
  <c r="AD143" i="52"/>
  <c r="AD144" i="52" s="1"/>
  <c r="U82" i="52"/>
  <c r="U56" i="52"/>
  <c r="U69" i="52" s="1"/>
  <c r="AA75" i="52"/>
  <c r="AG139" i="52"/>
  <c r="AG48" i="52" s="1"/>
  <c r="T77" i="52"/>
  <c r="T70" i="52"/>
  <c r="AE111" i="52"/>
  <c r="AD108" i="52"/>
  <c r="AE74" i="52"/>
  <c r="AE47" i="52"/>
  <c r="AF58" i="52"/>
  <c r="AE52" i="52"/>
  <c r="AC85" i="52" l="1"/>
  <c r="AC99" i="52" s="1"/>
  <c r="AD73" i="52"/>
  <c r="AD50" i="52"/>
  <c r="AD59" i="52" s="1"/>
  <c r="AD66" i="52" s="1"/>
  <c r="AD68" i="52" s="1"/>
  <c r="AC66" i="52"/>
  <c r="AC68" i="52" s="1"/>
  <c r="AC75" i="52" s="1"/>
  <c r="S72" i="52"/>
  <c r="AF74" i="52"/>
  <c r="AG58" i="52"/>
  <c r="AF52" i="52"/>
  <c r="AF47" i="52"/>
  <c r="AF111" i="52"/>
  <c r="AE108" i="52"/>
  <c r="W55" i="52"/>
  <c r="T71" i="52"/>
  <c r="T78" i="52" s="1"/>
  <c r="AE143" i="52"/>
  <c r="AE144" i="52" s="1"/>
  <c r="U77" i="52"/>
  <c r="U70" i="52"/>
  <c r="AG140" i="52"/>
  <c r="AG49" i="52" s="1"/>
  <c r="AE60" i="52"/>
  <c r="AH139" i="52"/>
  <c r="AH48" i="52" s="1"/>
  <c r="AF76" i="52"/>
  <c r="AG67" i="52"/>
  <c r="AR67" i="52"/>
  <c r="V82" i="52"/>
  <c r="V56" i="52"/>
  <c r="V69" i="52" s="1"/>
  <c r="AD85" i="52" l="1"/>
  <c r="AD99" i="52" s="1"/>
  <c r="AE73" i="52"/>
  <c r="AD80" i="52"/>
  <c r="T72" i="52"/>
  <c r="W82" i="52"/>
  <c r="W56" i="52"/>
  <c r="W69" i="52" s="1"/>
  <c r="V77" i="52"/>
  <c r="V70" i="52"/>
  <c r="X53" i="52"/>
  <c r="AG76" i="52"/>
  <c r="AH67" i="52"/>
  <c r="AI139" i="52"/>
  <c r="AI48" i="52" s="1"/>
  <c r="U71" i="52"/>
  <c r="U78" i="52" s="1"/>
  <c r="AE50" i="52"/>
  <c r="AE59" i="52" s="1"/>
  <c r="AG74" i="52"/>
  <c r="AH58" i="52"/>
  <c r="AG47" i="52"/>
  <c r="AG52" i="52"/>
  <c r="AH140" i="52"/>
  <c r="AH49" i="52" s="1"/>
  <c r="AF61" i="52"/>
  <c r="AF60" i="52" s="1"/>
  <c r="AD75" i="52"/>
  <c r="AF143" i="52"/>
  <c r="AG111" i="52"/>
  <c r="AF108" i="52"/>
  <c r="AF50" i="52" s="1"/>
  <c r="AF59" i="52" s="1"/>
  <c r="AG143" i="52" l="1"/>
  <c r="AG144" i="52" s="1"/>
  <c r="AE80" i="52"/>
  <c r="AE66" i="52"/>
  <c r="AE68" i="52" s="1"/>
  <c r="AH76" i="52"/>
  <c r="AI67" i="52"/>
  <c r="AF144" i="52"/>
  <c r="AI58" i="52"/>
  <c r="AH52" i="52"/>
  <c r="AH47" i="52"/>
  <c r="AH74" i="52"/>
  <c r="U72" i="52"/>
  <c r="V71" i="52"/>
  <c r="V78" i="52" s="1"/>
  <c r="AI140" i="52"/>
  <c r="AI49" i="52" s="1"/>
  <c r="AG60" i="52"/>
  <c r="X55" i="52"/>
  <c r="Y53" i="52" s="1"/>
  <c r="AF80" i="52"/>
  <c r="AF66" i="52"/>
  <c r="AF68" i="52" s="1"/>
  <c r="AJ139" i="52"/>
  <c r="AJ48" i="52" s="1"/>
  <c r="AH111" i="52"/>
  <c r="AG108" i="52"/>
  <c r="W77" i="52"/>
  <c r="W70" i="52"/>
  <c r="AE85" i="52" l="1"/>
  <c r="AE99" i="52" s="1"/>
  <c r="AF73" i="52"/>
  <c r="AF85" i="52" s="1"/>
  <c r="AF99" i="52" s="1"/>
  <c r="AG73" i="52"/>
  <c r="W71" i="52"/>
  <c r="W78" i="52" s="1"/>
  <c r="AI74" i="52"/>
  <c r="AJ58" i="52"/>
  <c r="AI52" i="52"/>
  <c r="AI47" i="52"/>
  <c r="AG50" i="52"/>
  <c r="AG59" i="52" s="1"/>
  <c r="Y55" i="52"/>
  <c r="AI76" i="52"/>
  <c r="AJ67" i="52"/>
  <c r="AI111" i="52"/>
  <c r="AH108" i="52"/>
  <c r="AF75" i="52"/>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I108" i="52"/>
  <c r="Y82" i="52"/>
  <c r="Y56" i="52"/>
  <c r="Y69" i="52" s="1"/>
  <c r="AI143" i="52"/>
  <c r="AJ76" i="52"/>
  <c r="AK67" i="52"/>
  <c r="Z53" i="52"/>
  <c r="AJ74" i="52"/>
  <c r="AK58" i="52"/>
  <c r="AJ52" i="52"/>
  <c r="AJ47" i="52"/>
  <c r="X77" i="52"/>
  <c r="X70" i="52"/>
  <c r="AH50" i="52"/>
  <c r="AH59" i="52" s="1"/>
  <c r="AH80" i="52" l="1"/>
  <c r="AH66" i="52"/>
  <c r="AH68" i="52" s="1"/>
  <c r="AK74" i="52"/>
  <c r="AL58" i="52"/>
  <c r="AK52" i="52"/>
  <c r="AK47" i="52"/>
  <c r="Y77" i="52"/>
  <c r="Y70" i="52"/>
  <c r="X71" i="52"/>
  <c r="X78" i="52" s="1"/>
  <c r="AL140" i="52"/>
  <c r="AL49" i="52" s="1"/>
  <c r="AJ60" i="52"/>
  <c r="Z55" i="52"/>
  <c r="AJ143" i="52"/>
  <c r="AJ144" i="52" s="1"/>
  <c r="AI50" i="52"/>
  <c r="AI59" i="52" s="1"/>
  <c r="AK76" i="52"/>
  <c r="AL67" i="52"/>
  <c r="AI144" i="52"/>
  <c r="AJ108" i="52"/>
  <c r="AK111" i="52"/>
  <c r="AG75" i="52"/>
  <c r="AM139" i="52"/>
  <c r="AM48" i="52" s="1"/>
  <c r="AJ73" i="52" l="1"/>
  <c r="AH85" i="52"/>
  <c r="AH99" i="52" s="1"/>
  <c r="AI73" i="52"/>
  <c r="AI85" i="52" s="1"/>
  <c r="AI99" i="52" s="1"/>
  <c r="AJ50" i="52"/>
  <c r="AJ59" i="52" s="1"/>
  <c r="AJ66" i="52" s="1"/>
  <c r="AJ68" i="52" s="1"/>
  <c r="X72" i="52"/>
  <c r="AN139" i="52"/>
  <c r="AN48" i="52" s="1"/>
  <c r="Z82" i="52"/>
  <c r="Z56" i="52"/>
  <c r="Z69" i="52" s="1"/>
  <c r="AM140" i="52"/>
  <c r="AM49" i="52" s="1"/>
  <c r="AK60" i="52"/>
  <c r="AK143" i="52"/>
  <c r="AH75" i="52"/>
  <c r="AI80" i="52"/>
  <c r="AI66" i="52"/>
  <c r="AI68" i="52" s="1"/>
  <c r="AL76" i="52"/>
  <c r="AM67" i="52"/>
  <c r="AK108" i="52"/>
  <c r="AL111" i="52"/>
  <c r="AA53" i="52"/>
  <c r="Y71" i="52"/>
  <c r="Y78" i="52" s="1"/>
  <c r="AM58" i="52"/>
  <c r="AL52" i="52"/>
  <c r="AL47" i="52"/>
  <c r="AL74" i="52"/>
  <c r="AJ80" i="52" l="1"/>
  <c r="AK50" i="52"/>
  <c r="AK59" i="52" s="1"/>
  <c r="AK66" i="52" s="1"/>
  <c r="AK68" i="52" s="1"/>
  <c r="Z77" i="52"/>
  <c r="Z70" i="52"/>
  <c r="Y72" i="52"/>
  <c r="AM76" i="52"/>
  <c r="AN67" i="52"/>
  <c r="AI75" i="52"/>
  <c r="AL143" i="52"/>
  <c r="AL144" i="52" s="1"/>
  <c r="AN140" i="52"/>
  <c r="AN49" i="52" s="1"/>
  <c r="AL61" i="52"/>
  <c r="AL60" i="52" s="1"/>
  <c r="AJ75" i="52"/>
  <c r="AA55" i="52"/>
  <c r="AM74" i="52"/>
  <c r="AN58" i="52"/>
  <c r="AM47" i="52"/>
  <c r="AM52" i="52"/>
  <c r="AM111" i="52"/>
  <c r="AL108" i="52"/>
  <c r="AK144" i="52"/>
  <c r="AO139" i="52"/>
  <c r="AO48" i="52" s="1"/>
  <c r="AL73" i="52" l="1"/>
  <c r="AJ85" i="52"/>
  <c r="AJ99" i="52" s="1"/>
  <c r="AK73" i="52"/>
  <c r="AK85" i="52" s="1"/>
  <c r="AK99" i="52" s="1"/>
  <c r="AK80" i="52"/>
  <c r="AK75" i="52"/>
  <c r="AN111" i="52"/>
  <c r="AM108" i="52"/>
  <c r="AP139" i="52"/>
  <c r="AP48" i="52" s="1"/>
  <c r="AA82" i="52"/>
  <c r="AA56" i="52"/>
  <c r="AA69" i="52" s="1"/>
  <c r="AB53" i="52"/>
  <c r="AO140" i="52"/>
  <c r="AO49" i="52" s="1"/>
  <c r="AM60" i="52"/>
  <c r="AL50" i="52"/>
  <c r="AL59" i="52" s="1"/>
  <c r="AN74" i="52"/>
  <c r="AO58" i="52"/>
  <c r="AN52" i="52"/>
  <c r="AN47" i="52"/>
  <c r="AM143" i="52"/>
  <c r="AO67" i="52"/>
  <c r="AN76" i="52"/>
  <c r="Z71" i="52"/>
  <c r="Z78" i="52" s="1"/>
  <c r="AM50" i="52" l="1"/>
  <c r="AM59" i="52" s="1"/>
  <c r="AM80" i="52" s="1"/>
  <c r="AL80" i="52"/>
  <c r="AL66" i="52"/>
  <c r="AL68" i="52" s="1"/>
  <c r="AO76" i="52"/>
  <c r="AP67" i="52"/>
  <c r="AQ139" i="52"/>
  <c r="AN108" i="52"/>
  <c r="AO111" i="52"/>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O108" i="52"/>
  <c r="AQ140" i="52"/>
  <c r="AO60" i="52"/>
  <c r="AB82" i="52"/>
  <c r="AB56" i="52"/>
  <c r="AB69" i="52" s="1"/>
  <c r="AN50" i="52"/>
  <c r="AN59" i="52" s="1"/>
  <c r="AO143" i="52"/>
  <c r="AO144" i="52" s="1"/>
  <c r="AR139" i="52"/>
  <c r="AS139" i="52" s="1"/>
  <c r="AT139" i="52" s="1"/>
  <c r="AU139" i="52" s="1"/>
  <c r="AV139" i="52" s="1"/>
  <c r="AW139" i="52" s="1"/>
  <c r="AX139" i="52" s="1"/>
  <c r="AY139" i="52" s="1"/>
  <c r="AA71" i="52"/>
  <c r="AA78" i="52" s="1"/>
  <c r="AP52" i="52"/>
  <c r="AP47" i="52"/>
  <c r="AP74" i="52"/>
  <c r="AP76" i="52"/>
  <c r="AS67" i="52"/>
  <c r="AN144" i="52"/>
  <c r="AL75" i="52"/>
  <c r="AM85" i="52" l="1"/>
  <c r="AM99" i="52" s="1"/>
  <c r="AN73" i="52"/>
  <c r="AN85" i="52" s="1"/>
  <c r="AN99" i="52" s="1"/>
  <c r="AO73" i="52"/>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0" i="52"/>
  <c r="AO59" i="52" s="1"/>
  <c r="AO85" i="52" l="1"/>
  <c r="AO99" i="52" s="1"/>
  <c r="AP73" i="52"/>
  <c r="AP50" i="52"/>
  <c r="AP59" i="52" s="1"/>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6" i="52" l="1"/>
  <c r="B87" i="52" s="1"/>
  <c r="B90" i="52" s="1"/>
  <c r="B84" i="52"/>
  <c r="B89" i="52" s="1"/>
  <c r="B88" i="52"/>
  <c r="D83" i="52"/>
  <c r="D86" i="52" s="1"/>
  <c r="C83" i="52" l="1"/>
  <c r="G83" i="52" l="1"/>
  <c r="G86" i="52" s="1"/>
  <c r="E83" i="52"/>
  <c r="E86" i="52" s="1"/>
  <c r="C86" i="52"/>
  <c r="E88" i="52"/>
  <c r="D84" i="52"/>
  <c r="D88" i="52"/>
  <c r="C84" i="52"/>
  <c r="C89" i="52" s="1"/>
  <c r="C88" i="52"/>
  <c r="E84" i="52" l="1"/>
  <c r="E89" i="52" s="1"/>
  <c r="H83" i="52"/>
  <c r="H86" i="52" s="1"/>
  <c r="D87" i="52"/>
  <c r="E87" i="52"/>
  <c r="C87" i="52"/>
  <c r="C90" i="52" s="1"/>
  <c r="F83" i="52"/>
  <c r="D89" i="52"/>
  <c r="J83" i="52" l="1"/>
  <c r="J86" i="52" s="1"/>
  <c r="D90" i="52"/>
  <c r="F86" i="52"/>
  <c r="G84" i="52"/>
  <c r="H84" i="52"/>
  <c r="F84" i="52"/>
  <c r="F89" i="52" s="1"/>
  <c r="H88" i="52"/>
  <c r="G88" i="52"/>
  <c r="F88" i="52"/>
  <c r="E90" i="52"/>
  <c r="I83" i="52" l="1"/>
  <c r="I86" i="52" s="1"/>
  <c r="J87" i="52" s="1"/>
  <c r="K83" i="52"/>
  <c r="H89" i="52"/>
  <c r="G87" i="52"/>
  <c r="H87" i="52"/>
  <c r="F87" i="52"/>
  <c r="F90" i="52" s="1"/>
  <c r="G89" i="52"/>
  <c r="I87" i="52" l="1"/>
  <c r="J84" i="52"/>
  <c r="J88" i="52"/>
  <c r="I88" i="52"/>
  <c r="I84" i="52"/>
  <c r="I89" i="52" s="1"/>
  <c r="L83" i="52"/>
  <c r="H90" i="52"/>
  <c r="I90" i="52"/>
  <c r="G90" i="52"/>
  <c r="K84" i="52"/>
  <c r="K89" i="52" s="1"/>
  <c r="K86" i="52"/>
  <c r="K88" i="52"/>
  <c r="J90" i="52"/>
  <c r="J89" i="52" l="1"/>
  <c r="M83" i="52"/>
  <c r="M86" i="52" s="1"/>
  <c r="L86" i="52"/>
  <c r="L87" i="52" s="1"/>
  <c r="L84" i="52"/>
  <c r="L89" i="52" s="1"/>
  <c r="L88" i="52"/>
  <c r="B105" i="52" s="1"/>
  <c r="K87" i="52"/>
  <c r="K90" i="52" s="1"/>
  <c r="G28" i="52" l="1"/>
  <c r="C105" i="52" s="1"/>
  <c r="M87" i="52"/>
  <c r="G30" i="52" s="1"/>
  <c r="M84" i="52"/>
  <c r="M89" i="52" s="1"/>
  <c r="M88" i="52"/>
  <c r="N83" i="52"/>
  <c r="L90" i="52"/>
  <c r="G29" i="52" s="1"/>
  <c r="D105" i="52" s="1"/>
  <c r="A105" i="52"/>
  <c r="M90" i="52" l="1"/>
  <c r="N86" i="52"/>
  <c r="N88" i="52"/>
  <c r="N84" i="52"/>
  <c r="N89" i="52" s="1"/>
  <c r="O83" i="52"/>
  <c r="P83" i="52" l="1"/>
  <c r="O86" i="52"/>
  <c r="O87" i="52" s="1"/>
  <c r="O88" i="52"/>
  <c r="O84" i="52"/>
  <c r="O89" i="52" s="1"/>
  <c r="N87" i="52"/>
  <c r="N90" i="52" s="1"/>
  <c r="O90" i="52" l="1"/>
  <c r="Q83" i="52"/>
  <c r="P86" i="52"/>
  <c r="P87" i="52" s="1"/>
  <c r="P90" i="52" s="1"/>
  <c r="P88" i="52"/>
  <c r="P84" i="52"/>
  <c r="P89" i="52" s="1"/>
  <c r="R83" i="52" l="1"/>
  <c r="Q86" i="52"/>
  <c r="Q87" i="52" s="1"/>
  <c r="Q90" i="52" s="1"/>
  <c r="Q88" i="52"/>
  <c r="Q84" i="52"/>
  <c r="Q89" i="52" s="1"/>
  <c r="S83" i="52" l="1"/>
  <c r="R86" i="52"/>
  <c r="R87" i="52" s="1"/>
  <c r="R90" i="52" s="1"/>
  <c r="R88" i="52"/>
  <c r="R84" i="52"/>
  <c r="R89" i="52" s="1"/>
  <c r="T83" i="52" l="1"/>
  <c r="S86" i="52"/>
  <c r="S87" i="52" s="1"/>
  <c r="S90" i="52" s="1"/>
  <c r="S88" i="52"/>
  <c r="S84" i="52"/>
  <c r="S89" i="52" s="1"/>
  <c r="U83" i="52" l="1"/>
  <c r="T86" i="52"/>
  <c r="T87" i="52" s="1"/>
  <c r="T90" i="52" s="1"/>
  <c r="T84" i="52"/>
  <c r="T89" i="52" s="1"/>
  <c r="T88" i="52"/>
  <c r="U86" i="52" l="1"/>
  <c r="U87" i="52" s="1"/>
  <c r="U90" i="52" s="1"/>
  <c r="U88" i="52"/>
  <c r="U84" i="52"/>
  <c r="U89" i="52" s="1"/>
  <c r="V83" i="52"/>
  <c r="V86" i="52" l="1"/>
  <c r="V87" i="52" s="1"/>
  <c r="V90" i="52" s="1"/>
  <c r="V88" i="52"/>
  <c r="V84" i="52"/>
  <c r="V89" i="52" s="1"/>
  <c r="W83" i="52"/>
  <c r="X83" i="52" l="1"/>
  <c r="W86" i="52"/>
  <c r="W87" i="52" s="1"/>
  <c r="W90" i="52" s="1"/>
  <c r="W88" i="52"/>
  <c r="W84" i="52"/>
  <c r="W89" i="52" s="1"/>
  <c r="Y83" i="52" l="1"/>
  <c r="X86" i="52"/>
  <c r="X87" i="52" s="1"/>
  <c r="X90" i="52" s="1"/>
  <c r="X88" i="52"/>
  <c r="X84" i="52"/>
  <c r="X89" i="52" s="1"/>
  <c r="Z83" i="52" l="1"/>
  <c r="Y86" i="52"/>
  <c r="Y87" i="52" s="1"/>
  <c r="Y90" i="52" s="1"/>
  <c r="Y84" i="52"/>
  <c r="Y89" i="52" s="1"/>
  <c r="Y88" i="52"/>
  <c r="AA83" i="52" l="1"/>
  <c r="Z86" i="52"/>
  <c r="Z87" i="52" s="1"/>
  <c r="Z90" i="52" s="1"/>
  <c r="Z84" i="52"/>
  <c r="Z89" i="52" s="1"/>
  <c r="Z88" i="52"/>
  <c r="AB83" i="52" l="1"/>
  <c r="AA86" i="52"/>
  <c r="AA87" i="52" s="1"/>
  <c r="AA90" i="52" s="1"/>
  <c r="AA88" i="52"/>
  <c r="AA84" i="52"/>
  <c r="AA89" i="52" s="1"/>
  <c r="AC83" i="52" l="1"/>
  <c r="AB86" i="52"/>
  <c r="AB87" i="52" s="1"/>
  <c r="AB90" i="52" s="1"/>
  <c r="AB88" i="52"/>
  <c r="AB84" i="52"/>
  <c r="AB89" i="52" s="1"/>
  <c r="AD83" i="52" l="1"/>
  <c r="AC86" i="52"/>
  <c r="AC87" i="52" s="1"/>
  <c r="AC90" i="52" s="1"/>
  <c r="AC84" i="52"/>
  <c r="AC89" i="52" s="1"/>
  <c r="AC88" i="52"/>
  <c r="AE83" i="52" l="1"/>
  <c r="AD86" i="52"/>
  <c r="AD87" i="52" s="1"/>
  <c r="AD90" i="52" s="1"/>
  <c r="AD84" i="52"/>
  <c r="AD89" i="52" s="1"/>
  <c r="AD88" i="52"/>
  <c r="AF83" i="52" l="1"/>
  <c r="AE86" i="52"/>
  <c r="AE87" i="52" s="1"/>
  <c r="AE90" i="52" s="1"/>
  <c r="AE84" i="52"/>
  <c r="AE89" i="52" s="1"/>
  <c r="AE88" i="52"/>
  <c r="AG83" i="52" l="1"/>
  <c r="AF86" i="52"/>
  <c r="AF87" i="52" s="1"/>
  <c r="AF90" i="52" s="1"/>
  <c r="AF88" i="52"/>
  <c r="AF84" i="52"/>
  <c r="AF89" i="52" s="1"/>
  <c r="AH83" i="52" l="1"/>
  <c r="AG86" i="52"/>
  <c r="AG87" i="52" s="1"/>
  <c r="AG90" i="52" s="1"/>
  <c r="AG84" i="52"/>
  <c r="AG89" i="52" s="1"/>
  <c r="AG88" i="52"/>
  <c r="AH86" i="52" l="1"/>
  <c r="AH87" i="52" s="1"/>
  <c r="AH90" i="52" s="1"/>
  <c r="AH88" i="52"/>
  <c r="AH84" i="52"/>
  <c r="AH89" i="52" s="1"/>
  <c r="AI83" i="52"/>
  <c r="AI86" i="52" l="1"/>
  <c r="AI87" i="52" s="1"/>
  <c r="AI90" i="52" s="1"/>
  <c r="AI88" i="52"/>
  <c r="AI84" i="52"/>
  <c r="AI89" i="52" s="1"/>
  <c r="AJ83" i="52"/>
  <c r="AK83" i="52" l="1"/>
  <c r="AJ86" i="52"/>
  <c r="AJ87" i="52" s="1"/>
  <c r="AJ90" i="52" s="1"/>
  <c r="AJ88" i="52"/>
  <c r="AJ84" i="52"/>
  <c r="AJ89" i="52" s="1"/>
  <c r="AL83" i="52" l="1"/>
  <c r="AK86" i="52"/>
  <c r="AK87" i="52" s="1"/>
  <c r="AK90" i="52" s="1"/>
  <c r="AK84" i="52"/>
  <c r="AK89" i="52" s="1"/>
  <c r="AK88" i="52"/>
  <c r="AM83" i="52" l="1"/>
  <c r="AL86" i="52"/>
  <c r="AL87" i="52" s="1"/>
  <c r="AL90" i="52" s="1"/>
  <c r="AL84" i="52"/>
  <c r="AL89" i="52" s="1"/>
  <c r="AL88" i="52"/>
  <c r="AN83" i="52" l="1"/>
  <c r="AM86" i="52"/>
  <c r="AM87" i="52" s="1"/>
  <c r="AM90" i="52" s="1"/>
  <c r="AM88" i="52"/>
  <c r="AM84" i="52"/>
  <c r="AM89" i="52" s="1"/>
  <c r="AO83" i="52" l="1"/>
  <c r="AP83" i="52"/>
  <c r="AN86" i="52"/>
  <c r="AN87" i="52" s="1"/>
  <c r="AN90" i="52" s="1"/>
  <c r="AN84" i="52"/>
  <c r="AN89" i="52" s="1"/>
  <c r="AN88" i="52"/>
  <c r="AO86" i="52" l="1"/>
  <c r="AO87" i="52" s="1"/>
  <c r="AO90" i="52" s="1"/>
  <c r="AO84" i="52"/>
  <c r="AO89" i="52" s="1"/>
  <c r="AO88" i="52"/>
  <c r="AP86" i="52"/>
  <c r="AP84" i="52"/>
  <c r="AP88" i="52"/>
  <c r="AP87" i="52" l="1"/>
  <c r="A101" i="52" s="1"/>
  <c r="B102" i="52" s="1"/>
  <c r="AP89" i="52"/>
  <c r="AP90" i="5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8BAEFF63-64BB-4FE9-BAD5-6C3F34982947}">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<sst xmlns="http://schemas.openxmlformats.org/spreadsheetml/2006/main" count="1197" uniqueCount="664">
  <si>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</si>
  <si>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</si>
  <si>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</si>
  <si>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</si>
  <si>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</si>
  <si>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</si>
  <si>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</si>
  <si>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</si>
  <si>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</si>
  <si>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</si>
  <si>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</si>
  <si>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</si>
  <si>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</si>
  <si>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</si>
  <si>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</si>
  <si>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</si>
  <si>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</si>
  <si>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</si>
  <si>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</si>
  <si>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</si>
  <si>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</si>
  <si>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</si>
  <si>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</si>
  <si>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</si>
  <si>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</si>
  <si>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</si>
  <si>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</si>
  <si>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</si>
  <si>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</si>
  <si>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</si>
  <si>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</si>
  <si>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</si>
  <si>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</si>
  <si>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</si>
  <si>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</si>
  <si>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</si>
  <si>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</si>
  <si>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</si>
  <si>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</si>
  <si>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</si>
  <si>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</si>
  <si>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</si>
  <si>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</si>
  <si>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</si>
  <si>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</si>
  <si>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</si>
  <si>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</si>
  <si>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</si>
  <si>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</si>
  <si>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</si>
  <si>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</si>
  <si>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</si>
  <si>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</si>
  <si>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</si>
  <si>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</si>
  <si>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</si>
  <si>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</si>
  <si>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</si>
  <si>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</si>
  <si>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</si>
  <si>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</si>
  <si>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</si>
  <si>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</si>
  <si>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</si>
  <si>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</si>
  <si>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</si>
  <si>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</si>
  <si>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</si>
  <si>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</si>
  <si>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</si>
  <si>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</si>
  <si>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</si>
  <si>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</si>
  <si>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</si>
  <si>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</si>
  <si>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</si>
  <si>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</si>
  <si>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</si>
  <si>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</si>
  <si>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</si>
  <si>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</si>
  <si>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</si>
  <si>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</si>
  <si>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</si>
  <si>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</si>
  <si>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</si>
  <si>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</si>
  <si>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</si>
  <si>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</si>
  <si>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</si>
  <si>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</si>
  <si>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</si>
  <si>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</si>
  <si>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</si>
  <si>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</si>
  <si>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</si>
  <si>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</si>
  <si>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</si>
  <si>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</si>
  <si>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</si>
  <si>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</si>
  <si>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</si>
  <si>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</si>
  <si>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</si>
  <si>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</si>
  <si>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</si>
  <si>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</si>
  <si>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</si>
  <si>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</si>
  <si>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</si>
  <si>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</si>
  <si>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</si>
  <si>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</si>
  <si>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</si>
  <si>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</si>
  <si>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</si>
  <si>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</si>
  <si>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</si>
  <si>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</si>
  <si>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</si>
  <si>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</si>
  <si>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</si>
  <si>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</si>
  <si>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</si>
  <si>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</si>
  <si>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</si>
  <si>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</si>
  <si>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</si>
  <si>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</si>
  <si>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</si>
  <si>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</si>
  <si>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</si>
  <si>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</si>
  <si>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</si>
  <si>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</si>
  <si>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</si>
  <si>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</si>
  <si>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</si>
  <si>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</si>
  <si>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</si>
  <si>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</si>
  <si>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</si>
  <si>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</si>
  <si>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</si>
  <si>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</si>
  <si>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</si>
  <si>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</si>
  <si>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</si>
  <si>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</si>
  <si>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</si>
  <si>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</si>
  <si>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</si>
  <si>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</si>
  <si>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</si>
  <si>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</si>
  <si>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</si>
  <si>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</si>
  <si>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</si>
  <si>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</si>
  <si>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</si>
  <si>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</si>
  <si>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</si>
  <si>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</si>
  <si>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</si>
  <si>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</si>
  <si>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</si>
  <si>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</si>
  <si>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</si>
  <si>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</si>
  <si>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</si>
  <si>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</si>
  <si>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</si>
  <si>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</si>
  <si>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</si>
  <si>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</si>
  <si>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</si>
  <si>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</si>
  <si>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</si>
  <si>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</si>
  <si>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</si>
  <si>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</si>
  <si>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</si>
  <si>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</si>
  <si>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</si>
  <si>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</si>
  <si>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</si>
  <si>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</si>
  <si>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</si>
  <si>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</si>
  <si>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</si>
  <si>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</si>
  <si>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</si>
  <si>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</si>
  <si>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</si>
  <si>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</si>
  <si>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</si>
  <si>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</si>
  <si>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</si>
  <si>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</si>
  <si>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</si>
  <si>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</si>
  <si>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</si>
  <si>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</si>
  <si>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</si>
  <si>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</si>
  <si>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</si>
  <si>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</si>
  <si>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</si>
  <si>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</si>
  <si>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</si>
  <si>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</si>
  <si>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</si>
  <si>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</si>
  <si>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</si>
  <si>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</si>
  <si>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</si>
  <si>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</si>
  <si>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</si>
  <si>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</si>
  <si>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</si>
  <si>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</si>
  <si>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</si>
  <si>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</si>
  <si>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</si>
  <si>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</si>
  <si>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</si>
  <si>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</si>
  <si>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</si>
  <si>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</si>
  <si>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</si>
  <si>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</si>
  <si>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</si>
  <si>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</si>
  <si>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</si>
  <si>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</si>
  <si>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</si>
  <si>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</si>
  <si>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</si>
  <si>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</si>
  <si>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</si>
  <si>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</si>
  <si>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</si>
  <si>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</si>
  <si>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</si>
  <si>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</si>
  <si>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</si>
  <si>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</si>
  <si>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</si>
  <si>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</si>
  <si>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</si>
  <si>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</si>
  <si>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</si>
  <si>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</si>
  <si>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</si>
  <si>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</si>
  <si>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</si>
  <si>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</si>
  <si>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</si>
  <si>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</si>
  <si>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</si>
  <si>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</si>
  <si>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</si>
  <si>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</si>
  <si>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</si>
  <si>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</si>
  <si>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</si>
  <si>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</si>
  <si>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</si>
  <si>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</si>
  <si>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</si>
  <si>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</si>
  <si>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</si>
  <si>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</si>
  <si>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</si>
  <si>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</si>
  <si>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</si>
  <si>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</si>
  <si>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</si>
  <si>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</si>
  <si>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</si>
  <si>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</si>
  <si>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</si>
  <si>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</si>
  <si>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</si>
  <si>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</si>
  <si>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</si>
  <si>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</si>
  <si>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</si>
  <si>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</si>
  <si>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</si>
  <si>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</si>
  <si>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</si>
  <si>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</si>
  <si>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</si>
  <si>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</si>
  <si>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</si>
  <si>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</si>
  <si>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</si>
  <si>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</si>
  <si>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</si>
  <si>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</si>
  <si>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</si>
  <si>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</si>
  <si>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</si>
  <si>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</si>
  <si>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</si>
  <si>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</si>
  <si>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</si>
  <si>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</si>
  <si>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</si>
  <si>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</si>
  <si>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</si>
  <si>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</si>
  <si>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</si>
  <si>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</si>
  <si>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</si>
  <si>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</si>
  <si>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</si>
  <si>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</si>
  <si>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</si>
  <si>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</si>
  <si>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</si>
  <si>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</si>
  <si>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</si>
  <si>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</si>
  <si>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</si>
  <si>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</si>
  <si>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</si>
  <si>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</si>
  <si>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</si>
  <si>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</si>
  <si>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</si>
  <si>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</si>
  <si>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</si>
  <si>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</si>
  <si>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</si>
  <si>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</si>
  <si>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</si>
  <si>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</si>
  <si>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</si>
  <si>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</si>
  <si>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</si>
  <si>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</si>
  <si>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</si>
  <si>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</si>
  <si>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</si>
  <si>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</si>
  <si>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</si>
  <si>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</si>
  <si>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</si>
  <si>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</si>
  <si>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</si>
  <si>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</si>
  <si>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</si>
  <si>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</si>
  <si>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</si>
  <si>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</si>
  <si>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</si>
  <si>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</si>
  <si>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</si>
  <si>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</si>
  <si>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</si>
  <si>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</si>
  <si>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</si>
  <si>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</si>
  <si>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</si>
  <si>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</si>
  <si>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</si>
  <si>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</si>
  <si>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</si>
  <si>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</si>
  <si>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</si>
  <si>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</si>
  <si>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</si>
  <si>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</si>
  <si>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</si>
  <si>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</si>
  <si>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</si>
  <si>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</si>
  <si>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</si>
  <si>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</si>
  <si>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</si>
  <si>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</si>
  <si>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</si>
  <si>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</si>
  <si>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</si>
  <si>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</si>
  <si>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</si>
  <si>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</si>
  <si>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</si>
  <si>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</si>
  <si>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</si>
  <si>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</si>
  <si>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</si>
  <si>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</si>
  <si>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</si>
  <si>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</si>
  <si>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</si>
  <si>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</si>
  <si>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</si>
  <si>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</si>
  <si>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</si>
  <si>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</si>
  <si>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</si>
  <si>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</si>
  <si>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</si>
  <si>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</si>
  <si>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</si>
  <si>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</si>
  <si>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</si>
  <si>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</si>
  <si>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</si>
  <si>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</si>
  <si>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</si>
  <si>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</si>
  <si>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</si>
  <si>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</si>
  <si>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</si>
  <si>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</si>
  <si>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</si>
  <si>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</si>
  <si>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</si>
  <si>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</si>
  <si>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</si>
  <si>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</si>
  <si>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</si>
  <si>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</si>
  <si>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</si>
  <si>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</si>
  <si>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</si>
  <si>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</si>
  <si>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</si>
  <si>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</si>
  <si>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</si>
  <si>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</si>
  <si>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</si>
  <si>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</si>
  <si>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</si>
  <si>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</si>
  <si>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</si>
  <si>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</si>
  <si>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</si>
  <si>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</si>
  <si>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</si>
  <si>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</si>
  <si>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</si>
  <si>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</si>
  <si>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</si>
  <si>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</si>
  <si>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</si>
  <si>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</si>
  <si>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</si>
  <si>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</si>
  <si>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</si>
  <si>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</si>
  <si>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</si>
  <si>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</si>
  <si>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</si>
  <si>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</si>
  <si>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</si>
  <si>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</si>
  <si>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</si>
  <si>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</si>
  <si>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</si>
  <si>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</si>
  <si>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</si>
  <si>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</si>
  <si>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</si>
  <si>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</si>
  <si>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</si>
  <si>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</si>
  <si>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</si>
  <si>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</si>
  <si>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</si>
  <si>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</si>
  <si>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</si>
  <si>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</si>
  <si>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</si>
  <si>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</si>
  <si>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</si>
  <si>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</si>
  <si>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</si>
  <si>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</si>
  <si>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</si>
  <si>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</si>
  <si>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</si>
  <si>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</si>
  <si>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</si>
  <si>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</si>
  <si>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</si>
  <si>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</si>
  <si>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</si>
  <si>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</si>
  <si>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</si>
  <si>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</si>
  <si>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</si>
  <si>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</si>
  <si>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</si>
  <si>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</si>
  <si>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1)</t>
  </si>
  <si>
    <t xml:space="preserve">не требуется </t>
  </si>
  <si>
    <t>нет</t>
  </si>
  <si>
    <t>нд</t>
  </si>
  <si>
    <t>ВЛ</t>
  </si>
  <si>
    <t>ж/б</t>
  </si>
  <si>
    <t>трансформатор силовой масляный</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</si>
  <si>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</si>
  <si>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</si>
  <si>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</si>
  <si>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</si>
  <si>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</si>
  <si>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</si>
  <si>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2016</t>
  </si>
  <si>
    <t>от «__» _____ 20__ г. №___</t>
  </si>
  <si>
    <r>
      <t>После реализации инвестиционного проекта контрольные параметры будут приведены в надлежащее состояние.</t>
    </r>
    <r>
      <rPr>
        <sz val="12"/>
        <color theme="1"/>
        <rFont val="Times New Roman"/>
        <family val="1"/>
        <charset val="204"/>
      </rPr>
      <t xml:space="preserve"> Повышение индекса состояния до нормированного значения. 
Уровень напряжения соответсвует требованиям ГОСТ 32144-2013 (220 В).</t>
    </r>
  </si>
  <si>
    <t>1962</t>
  </si>
  <si>
    <t>2017</t>
  </si>
  <si>
    <t>GTBN</t>
  </si>
  <si>
    <t>Акт обследования ВЛ 0,4 кВ от ТП 204-10 от 14.04.2022</t>
  </si>
  <si>
    <t>ВЛ 15-204</t>
  </si>
  <si>
    <t>ВЛ 0,4 кВ Л-1 от ТП 204-10</t>
  </si>
  <si>
    <t>Акт обследования ТП 204-10 от 14.04.2022</t>
  </si>
  <si>
    <t>Требуется строительство новой ТП 15/0,4 кВ взамен существующей ТП 204-10</t>
  </si>
  <si>
    <t>2016 г. ООО "ЭнЭкА"</t>
  </si>
  <si>
    <t>В целом исправно и соответствует требованиям НТД</t>
  </si>
  <si>
    <t>ВЛ 0,4 кВ  Л-2 от ТП 204-10</t>
  </si>
  <si>
    <t>ВЛ 0,4 кВ Л-2 от ТП 204-10</t>
  </si>
  <si>
    <t>50</t>
  </si>
  <si>
    <t>дер.</t>
  </si>
  <si>
    <t>Требуется реконструкция ВЛ 0,4 кВ Л-1 от ТП 204-10</t>
  </si>
  <si>
    <t>ВЛ 0,4 кВ  Л-3 от ТП 204-10</t>
  </si>
  <si>
    <t>ВЛ 0,4 кВ  Л-5 от ТП 204-10</t>
  </si>
  <si>
    <t>2018 г. ООО "ЭнЭкА"</t>
  </si>
  <si>
    <t>В целом исправна и соответствует требованиям НТД</t>
  </si>
  <si>
    <t>АО "Россети Янтарь"</t>
  </si>
  <si>
    <t>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t>
  </si>
  <si>
    <t>N_22-1289</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</si>
  <si>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</si>
  <si>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Багратионовский городской округ</t>
  </si>
  <si>
    <t>МТП 15/0,4 кВ 204-10</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</si>
  <si>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</si>
  <si>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</si>
  <si>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</si>
  <si>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</si>
  <si>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</si>
  <si>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</si>
  <si>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</si>
  <si>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</si>
  <si>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</si>
  <si>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</si>
  <si>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</si>
  <si>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</si>
  <si>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</si>
  <si>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</si>
  <si>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</si>
  <si>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</si>
  <si>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</si>
  <si>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</si>
  <si>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</si>
  <si>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</si>
  <si>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</si>
  <si>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</si>
  <si>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</si>
  <si>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</si>
  <si>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</si>
  <si>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</si>
  <si>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</si>
  <si>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</si>
  <si>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</si>
  <si>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</si>
  <si>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</si>
  <si>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</si>
  <si>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</si>
  <si>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</si>
  <si>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техническое перевооружение</t>
  </si>
  <si>
    <t>МТП 15/0,4 кВ 250 кВА</t>
  </si>
  <si>
    <t>Сметная стоимость проекта в ценах 2025 года с НДС, млн. руб.</t>
  </si>
  <si>
    <t>Акционерное общество "Россети Янтарь" ДЗО  ПАО "Россети"</t>
  </si>
  <si>
    <t>ТП 204-10 - 0,124 МВт  11.09.2022</t>
  </si>
  <si>
    <t>Протоколы испытаний электрической энергии по показателям качества № б/н от 07.12.2022 г. 
Максимальное отклонение уровня в месте проведения замера составляет (фаза А - 5,45%, фаза В - 6,36%, фаза С - 6,82%). 
Жалобы жителей п. Долгоруково на низкое качество электроэнергии.
Акт технического обследования ВЛ 0,4 кВ от ТП 204-10 от 14.04.2022 г. - Превышен нормативный срок эксплуатации (год ввода 1962). Высокий износ участков цепей. Нарушение принципа построения сети, путем увеличения протяженности ВЛ 0,4 кВ при подключении новых потребителей.  Требуется реконструкция ВЛ 0,4 кВ  от ТП 204-10.
Акт технического обследования ТП 204-10 от 14.04.2022 г. - Износ конструкции ТП, износ разъединителя, износ трансформатора. Требуется строительство новой ТП 15/0,4 кВ взамен существующей ТП 204-10.
ИС ТП 204-10 - 80,76
ИС ВЛ 0,4 кВ Л-1 от ТП 204-10 - 48,96 
ИС ВЛ 0,4 кВ Л-2 от ТП 204-10 - 42,86  
ИС ВЛ 0,4 кВ Л-3 от ТП 204-10 - 55,88 
ИС ВЛ 0,4 кВ Л-5 от Тп 204-10 - 70,68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</si>
  <si>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</si>
  <si>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</si>
  <si>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</si>
  <si>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</si>
  <si>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</si>
  <si>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</si>
  <si>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</si>
  <si>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</si>
  <si>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</si>
  <si>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</si>
  <si>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</si>
  <si>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</si>
  <si>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</si>
  <si>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</si>
  <si>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</si>
  <si>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</si>
  <si>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ПИР ООО "Электроналадка" договор  № 01/07-6.10н от 01.07.2024 в ценах 2024 года без НДС, млн. руб.</t>
  </si>
  <si>
    <t>ПИР ООО "Электроналадка" договор  № 01/07-6.10н от 01.07.2024</t>
  </si>
  <si>
    <t>Год раскрытия информации: 2025 год</t>
  </si>
  <si>
    <t>да</t>
  </si>
  <si>
    <t xml:space="preserve"> по состоянию на 01.01.2025</t>
  </si>
  <si>
    <t>ВЛ 15 кВ 15-204</t>
  </si>
  <si>
    <t>оп.4 - ТП 204-10</t>
  </si>
  <si>
    <t>оп.1 - ТП 204-10 новая</t>
  </si>
  <si>
    <t>ВЛ 0,4 кВ Л-новая от ТП 204-10</t>
  </si>
  <si>
    <t>от ТП до оп.2 Л-1 от ТП 204-10</t>
  </si>
  <si>
    <t>ВЛ 0,4 кВ  Л-1 от ТП 204-10</t>
  </si>
  <si>
    <t>ВЛ 0,4 кВ  Л-1 от ТП 204-10, ВЛ 0,4 кВ Л-новая от ТП 204-10</t>
  </si>
  <si>
    <t>оп.2 - оп.10</t>
  </si>
  <si>
    <t>оп.2 - оп.11</t>
  </si>
  <si>
    <t>оп.10 - оп.18</t>
  </si>
  <si>
    <t>оп.11 - оп.20</t>
  </si>
  <si>
    <t>оп.11 - оп.11/1, оп.12 - оп.12/1, оп.13 - оп.13/1, оп.14 - оп.14/1</t>
  </si>
  <si>
    <t>оп.13 -оп.13/1, оп.14 - оп.14/1, оп.15 - оп.15/1, оп.16 - оп.16/1</t>
  </si>
  <si>
    <t>ВЛ 0,4 кВ  Л-2, Л-3, Л-5 от ТП 204-10</t>
  </si>
  <si>
    <t>от ТП до оп.1</t>
  </si>
  <si>
    <t>70, 70, 95</t>
  </si>
  <si>
    <t>оп.1 - оп.3</t>
  </si>
  <si>
    <t>оп.1 - оп.5</t>
  </si>
  <si>
    <t>Требуется реконструкция ВЛ 0,4 кВ от ТП 204-10</t>
  </si>
  <si>
    <t>оп.3 - оп.9</t>
  </si>
  <si>
    <t>оп.5 - оп.11</t>
  </si>
  <si>
    <t>ВЛ 0,4 кВ  Л-3, Л-5 от ТП 204-10</t>
  </si>
  <si>
    <t>ТП - оп.1</t>
  </si>
  <si>
    <t>70, 95</t>
  </si>
  <si>
    <t>ВЛ 0,4 кВ Л-5 от ТП 204-10 (совм. с Л-3)</t>
  </si>
  <si>
    <t>оп.3 - оп.5</t>
  </si>
  <si>
    <t>1/2</t>
  </si>
  <si>
    <t>оп.3 - оп.7</t>
  </si>
  <si>
    <t>оп.5 - оп.19</t>
  </si>
  <si>
    <t>оп.7 - оп.24</t>
  </si>
  <si>
    <t>оп.3 - оп.8, оп.3 - оп.3/3</t>
  </si>
  <si>
    <t>оп.5 - оп.10, оп.5 - оп.5/3</t>
  </si>
  <si>
    <t>15кВ</t>
  </si>
  <si>
    <t>замена</t>
  </si>
  <si>
    <t>0,4кВ</t>
  </si>
  <si>
    <t>вывод</t>
  </si>
  <si>
    <t>1ц</t>
  </si>
  <si>
    <t>2ц</t>
  </si>
  <si>
    <t>ТП 15/0,4 кВ 204-10 новая</t>
  </si>
  <si>
    <t>ТМГ 12-250/15-У1</t>
  </si>
  <si>
    <t>2025</t>
  </si>
  <si>
    <t>1. Реконструкция участка ВЛ 15 кВ от проектируемой опоры №1 до МТП 204-10 15/0,4 кВ (новой) проводом СИП-3 3(1х50) длиной 0,003 км с демонтажем провода 3хАС-50 длиной 0,027 км (обратный монтаж 0,024 км).
2. Строительство МТП 15/0,4 кВ (новой) с силовым трансформатором мощностью 250 кВА взамен существующей ТП 204-10 15/0,4 кВ. 
3. Строительство ВЛ 0,4 кВ Л-новой от ТП 204-10 до проектируемой опоры №11 проводом СИПс-4 4х95 длиной 0,275 км, в том числе 0,254 км совместным подвесом с существующей ВЛ 0,4 кВ Л-1 от от ТП 204-10.
4. Реконструкция участка ВЛ 0,4 Л-1 кВ от ТП 204-10 от существующей опоры №10 до проектируемой опоры №20 проводом СИПс-4 4х95 длиной 0,293 км с демонтажем провода 4А-50 длиной 0,293 км.
5. Реконструкция участков ВЛ 0,4 кВ Л-1 кВ от ТП 204-10 от существующей опоры № 11 до существующей опоры № 11/1, от существующей опоры № 12 до существующей опоры № 12/1, от существующей опоры № 13 до существующей  опоры № 13/1, от существующей опоры № 14 до существующей опоры № 14/1 проводом СИПс-4 4х25 длиной 0,101 км с демонтажем провода СИП-4 2х25 длиной 0,101 км. 
6. Строительство участков ВЛ 0,4 кВ Л-2, Л-3, Л-5 от ТП 204-10 до проектируемой опоры №1 проводом 2хСИПс-4 4х70 + СИПс-4 4х95 (трехцепный участок).
7. Реконструкция участка ВЛ 0,4 кВ Л-2 от ТП 204-10 от проектируемой опоры №1 до проектируемой опоры №11 проводом СИПс-4 4х70 длиной 0,302 км с демонтажем провода 4А-50 длиной 0,312 км.
8. Реконструкция участка ВЛ 0,4 кВ Л-3, Л-5 от ТП 204-10 от проектируемой опоры №1 до проектируемой опоры №3 проводом СИПс-4 4х70 + СИПс-4 4х95 длиной 0,048 км с демонтажем провода СИПс-4 4х70 + СИПс-4 4х95 длиной 0,034 км.
9. Реконструкция участка ВЛ 0,4 кВ Л-5 от ТП 204-10 от проектируемой опоры №3 до проектируемой опоры №5 проводом СИПс-4 4х70 длиной 0,072 км с демонтажем провода 3А-50 длиной 0,072 км совместным подвесом с существующей ВЛ 0,4 кВ Л-3 от от ТП 204-10.
10. Реконструкция участков ВЛ 0,4 кВ Л-3 от ТП 204-10 от проектируемой опоры №3 до проектируемой опоры №24 проводом СИПс-4 4х95 длиной 0,617 км с демонтажем провода 3А-50 длиной 0,603 км.
11. Реконструкция участков ВЛ 0,4 кВ Л-5 от ТП 204-10 от проектируемой опоры №5 до проектируемой опоры №10, от проектируемой опоры №5 до проектируемой опоры №5/3 проводом СИПс-4 4х70 длиной 0,262 км с демонтажем провода 3А-50 длиной 0,262 км.</t>
  </si>
  <si>
    <t>З</t>
  </si>
  <si>
    <t>ПСД, утв. приказом № 52 от 11.03.2025</t>
  </si>
  <si>
    <r>
      <t>∆L</t>
    </r>
    <r>
      <rPr>
        <vertAlign val="superscript"/>
        <sz val="11"/>
        <color theme="1"/>
        <rFont val="Calibri"/>
        <family val="2"/>
        <charset val="204"/>
        <scheme val="minor"/>
      </rPr>
      <t>0,4</t>
    </r>
    <r>
      <rPr>
        <sz val="11"/>
        <color theme="1"/>
        <rFont val="Calibri"/>
        <family val="2"/>
        <charset val="204"/>
        <scheme val="minor"/>
      </rPr>
      <t xml:space="preserve">лэп </t>
    </r>
    <r>
      <rPr>
        <sz val="11"/>
        <color theme="1"/>
        <rFont val="Calibri"/>
        <family val="2"/>
        <charset val="204"/>
        <scheme val="minor"/>
      </rPr>
      <t>= 0,045 км; 
Р</t>
    </r>
    <r>
      <rPr>
        <vertAlign val="superscript"/>
        <sz val="11"/>
        <color theme="1"/>
        <rFont val="Calibri"/>
        <family val="2"/>
        <charset val="204"/>
        <scheme val="minor"/>
      </rPr>
      <t>15</t>
    </r>
    <r>
      <rPr>
        <sz val="11"/>
        <color theme="1"/>
        <rFont val="Calibri"/>
        <family val="2"/>
        <charset val="204"/>
        <scheme val="minor"/>
      </rPr>
      <t xml:space="preserve">з_тр </t>
    </r>
    <r>
      <rPr>
        <sz val="11"/>
        <color theme="1"/>
        <rFont val="Calibri"/>
        <family val="2"/>
        <charset val="204"/>
        <scheme val="minor"/>
      </rPr>
      <t>= 0,25 МВА; L</t>
    </r>
    <r>
      <rPr>
        <vertAlign val="superscript"/>
        <sz val="11"/>
        <color theme="1"/>
        <rFont val="Calibri"/>
        <family val="2"/>
        <charset val="204"/>
        <scheme val="minor"/>
      </rPr>
      <t>15</t>
    </r>
    <r>
      <rPr>
        <sz val="11"/>
        <color theme="1"/>
        <rFont val="Calibri"/>
        <family val="2"/>
        <charset val="204"/>
        <scheme val="minor"/>
      </rPr>
      <t>з_лэп = 0,003 км; L</t>
    </r>
    <r>
      <rPr>
        <vertAlign val="superscript"/>
        <sz val="11"/>
        <color theme="1"/>
        <rFont val="Calibri"/>
        <family val="2"/>
        <charset val="204"/>
        <scheme val="minor"/>
      </rPr>
      <t>0,4</t>
    </r>
    <r>
      <rPr>
        <sz val="11"/>
        <color theme="1"/>
        <rFont val="Calibri"/>
        <family val="2"/>
        <charset val="204"/>
        <scheme val="minor"/>
      </rPr>
      <t xml:space="preserve">з_лэп = 1,475 км
</t>
    </r>
  </si>
  <si>
    <t>ВЛ 15 кВ - 67,41 млн.руб./км; 
ВЛ 0,4 кВ - 3,78 млн.руб./км; 
ТП 15/0,4 кВ - 7,19 млн.руб./МВА</t>
  </si>
  <si>
    <t>ГП</t>
  </si>
  <si>
    <t>Выполнение строительно-монтажных работ с поставкой оборудования подрядчика по объектам Западного РЭС, согласно приложению СМР 6.14н.</t>
  </si>
  <si>
    <t>Расчет предельной стоимости лота</t>
  </si>
  <si>
    <t>ОК</t>
  </si>
  <si>
    <t xml:space="preserve">ООО "ТК-ЭНЕРГОСТРОЙ" </t>
  </si>
  <si>
    <t>32514937288</t>
  </si>
  <si>
    <t>https://rosseti.roseltorg.ru/</t>
  </si>
  <si>
    <t xml:space="preserve">ООО"МКИНЖИНИРИНГ" </t>
  </si>
  <si>
    <t xml:space="preserve">ООО "ЭНЕРГОПРОЕКТ" </t>
  </si>
  <si>
    <t xml:space="preserve">ООО "ПРОЭЛЕКТРОМОНТАЖ" </t>
  </si>
  <si>
    <t xml:space="preserve">ИП РАФИЕВ ДАНИЛ АНДРЕЕВИЧ </t>
  </si>
  <si>
    <t>СМР ООО "ТК-Энергострой" договор № 6.14ТК от 10.09.2025 в ценах 2025 года с НДС, млн. руб.</t>
  </si>
  <si>
    <t xml:space="preserve"> - незаконтрактованные затраты</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</si>
  <si>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</si>
  <si>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</si>
  <si>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СМР ООО "ТК-Энергострой" договор № 6.14ТК от 10.09.2025</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</si>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</sst>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b/>
      <sz val="9"/>
      <color indexed="81"/>
      <name val="Tahoma"/>
      <family val="2"/>
      <charset val="204"/>
    </font>
    <font>
      <sz val="9"/>
      <color indexed="81"/>
      <name val="Tahoma"/>
      <family val="2"/>
      <charset val="204"/>
    </font>
    <font>
      <sz val="11"/>
      <color theme="3" tint="0.59999389629810485"/>
      <name val="Times New Roman"/>
      <family val="1"/>
      <charset val="204"/>
    </font>
    <font>
      <sz val="11"/>
      <color indexed="2"/>
      <name val="Times New Roman"/>
      <family val="1"/>
      <charset val="204"/>
    </font>
    <font>
      <sz val="12"/>
      <color indexed="2"/>
      <name val="Times New Roman"/>
      <family val="1"/>
      <charset val="204"/>
    </font>
    <font>
      <sz val="10"/>
      <color rgb="FF000000"/>
      <name val="Arial Cy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
      <patternFill patternType="solid">
        <fgColor theme="8" tint="0.79998168889431442"/>
        <bgColor theme="8" tint="0.79998168889431442"/>
      </patternFill>
    </fill>
    <fill>
      <patternFill patternType="solid">
        <fgColor theme="0" tint="-4.9989318521683403E-2"/>
        <bgColor theme="0" tint="-4.9989318521683403E-2"/>
      </patternFill>
    </fill>
    <fill>
      <patternFill patternType="solid">
        <fgColor rgb="FF99CCFF"/>
        <bgColor rgb="FF000000"/>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12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6" fillId="23" borderId="90" applyNumberFormat="0" applyFont="0" applyAlignment="0" applyProtection="0"/>
    <xf numFmtId="0" fontId="25" fillId="0" borderId="97" applyNumberFormat="0" applyFill="0" applyAlignment="0" applyProtection="0"/>
    <xf numFmtId="0" fontId="25" fillId="0" borderId="93" applyNumberFormat="0" applyFill="0" applyAlignment="0" applyProtection="0"/>
    <xf numFmtId="0" fontId="25" fillId="0" borderId="85" applyNumberFormat="0" applyFill="0" applyAlignment="0" applyProtection="0"/>
    <xf numFmtId="0" fontId="25" fillId="0" borderId="89" applyNumberFormat="0" applyFill="0" applyAlignment="0" applyProtection="0"/>
    <xf numFmtId="0" fontId="25" fillId="0" borderId="82" applyNumberFormat="0" applyFill="0" applyAlignment="0" applyProtection="0"/>
    <xf numFmtId="0" fontId="20" fillId="20" borderId="96" applyNumberFormat="0" applyAlignment="0" applyProtection="0"/>
    <xf numFmtId="0" fontId="19" fillId="7" borderId="95" applyNumberFormat="0" applyAlignment="0" applyProtection="0"/>
    <xf numFmtId="0" fontId="21" fillId="20" borderId="80" applyNumberFormat="0" applyAlignment="0" applyProtection="0"/>
    <xf numFmtId="0" fontId="19" fillId="7" borderId="76" applyNumberFormat="0" applyAlignment="0" applyProtection="0"/>
    <xf numFmtId="0" fontId="20" fillId="20" borderId="77" applyNumberFormat="0" applyAlignment="0" applyProtection="0"/>
    <xf numFmtId="0" fontId="21" fillId="20" borderId="76" applyNumberFormat="0" applyAlignment="0" applyProtection="0"/>
    <xf numFmtId="0" fontId="20" fillId="20" borderId="81" applyNumberFormat="0" applyAlignment="0" applyProtection="0"/>
    <xf numFmtId="0" fontId="19" fillId="7" borderId="80" applyNumberFormat="0" applyAlignment="0" applyProtection="0"/>
    <xf numFmtId="0" fontId="25" fillId="0" borderId="78" applyNumberFormat="0" applyFill="0" applyAlignment="0" applyProtection="0"/>
    <xf numFmtId="0" fontId="20" fillId="20" borderId="88" applyNumberFormat="0" applyAlignment="0" applyProtection="0"/>
    <xf numFmtId="0" fontId="19" fillId="7" borderId="83" applyNumberFormat="0" applyAlignment="0" applyProtection="0"/>
    <xf numFmtId="0" fontId="16" fillId="23" borderId="79" applyNumberFormat="0" applyFont="0" applyAlignment="0" applyProtection="0"/>
    <xf numFmtId="0" fontId="16" fillId="23" borderId="86" applyNumberFormat="0" applyFont="0" applyAlignment="0" applyProtection="0"/>
    <xf numFmtId="0" fontId="21" fillId="20" borderId="95" applyNumberFormat="0" applyAlignment="0" applyProtection="0"/>
    <xf numFmtId="0" fontId="20" fillId="20" borderId="92" applyNumberFormat="0" applyAlignment="0" applyProtection="0"/>
    <xf numFmtId="0" fontId="21" fillId="20" borderId="83" applyNumberFormat="0" applyAlignment="0" applyProtection="0"/>
    <xf numFmtId="0" fontId="20" fillId="20" borderId="84" applyNumberFormat="0" applyAlignment="0" applyProtection="0"/>
    <xf numFmtId="0" fontId="21" fillId="20" borderId="87" applyNumberFormat="0" applyAlignment="0" applyProtection="0"/>
    <xf numFmtId="0" fontId="16" fillId="23" borderId="94" applyNumberFormat="0" applyFont="0" applyAlignment="0" applyProtection="0"/>
    <xf numFmtId="0" fontId="19" fillId="7" borderId="87" applyNumberFormat="0" applyAlignment="0" applyProtection="0"/>
    <xf numFmtId="0" fontId="21" fillId="20" borderId="91" applyNumberFormat="0" applyAlignment="0" applyProtection="0"/>
    <xf numFmtId="0" fontId="16" fillId="23" borderId="98" applyNumberFormat="0" applyFont="0" applyAlignment="0" applyProtection="0"/>
    <xf numFmtId="0" fontId="19" fillId="7" borderId="91" applyNumberFormat="0" applyAlignment="0" applyProtection="0"/>
    <xf numFmtId="0" fontId="19" fillId="7" borderId="99" applyNumberFormat="0" applyAlignment="0" applyProtection="0"/>
    <xf numFmtId="0" fontId="20" fillId="20" borderId="100" applyNumberFormat="0" applyAlignment="0" applyProtection="0"/>
    <xf numFmtId="0" fontId="21" fillId="20" borderId="99" applyNumberFormat="0" applyAlignment="0" applyProtection="0"/>
    <xf numFmtId="0" fontId="25" fillId="0" borderId="101" applyNumberFormat="0" applyFill="0" applyAlignment="0" applyProtection="0"/>
    <xf numFmtId="0" fontId="16" fillId="23" borderId="102" applyNumberFormat="0" applyFont="0" applyAlignment="0" applyProtection="0"/>
    <xf numFmtId="0" fontId="16" fillId="23" borderId="102" applyNumberFormat="0" applyFont="0" applyAlignment="0" applyProtection="0"/>
    <xf numFmtId="0" fontId="25" fillId="0" borderId="101" applyNumberFormat="0" applyFill="0" applyAlignment="0" applyProtection="0"/>
    <xf numFmtId="0" fontId="25" fillId="0" borderId="101" applyNumberFormat="0" applyFill="0" applyAlignment="0" applyProtection="0"/>
    <xf numFmtId="0" fontId="25" fillId="0" borderId="101" applyNumberFormat="0" applyFill="0" applyAlignment="0" applyProtection="0"/>
    <xf numFmtId="0" fontId="25" fillId="0" borderId="101" applyNumberFormat="0" applyFill="0" applyAlignment="0" applyProtection="0"/>
    <xf numFmtId="0" fontId="21" fillId="20" borderId="99" applyNumberFormat="0" applyAlignment="0" applyProtection="0"/>
    <xf numFmtId="0" fontId="19" fillId="7" borderId="99" applyNumberFormat="0" applyAlignment="0" applyProtection="0"/>
    <xf numFmtId="0" fontId="20" fillId="20" borderId="100" applyNumberFormat="0" applyAlignment="0" applyProtection="0"/>
    <xf numFmtId="0" fontId="21" fillId="20" borderId="99" applyNumberFormat="0" applyAlignment="0" applyProtection="0"/>
    <xf numFmtId="0" fontId="20" fillId="20" borderId="100" applyNumberFormat="0" applyAlignment="0" applyProtection="0"/>
    <xf numFmtId="0" fontId="19" fillId="7" borderId="99" applyNumberFormat="0" applyAlignment="0" applyProtection="0"/>
    <xf numFmtId="0" fontId="25" fillId="0" borderId="101" applyNumberFormat="0" applyFill="0" applyAlignment="0" applyProtection="0"/>
    <xf numFmtId="0" fontId="20" fillId="20" borderId="100" applyNumberFormat="0" applyAlignment="0" applyProtection="0"/>
    <xf numFmtId="0" fontId="19" fillId="7" borderId="99" applyNumberFormat="0" applyAlignment="0" applyProtection="0"/>
    <xf numFmtId="0" fontId="16" fillId="23" borderId="102" applyNumberFormat="0" applyFont="0" applyAlignment="0" applyProtection="0"/>
    <xf numFmtId="0" fontId="16" fillId="23" borderId="102" applyNumberFormat="0" applyFont="0" applyAlignment="0" applyProtection="0"/>
    <xf numFmtId="0" fontId="20" fillId="20" borderId="100" applyNumberFormat="0" applyAlignment="0" applyProtection="0"/>
    <xf numFmtId="0" fontId="21" fillId="20" borderId="99" applyNumberFormat="0" applyAlignment="0" applyProtection="0"/>
    <xf numFmtId="0" fontId="20" fillId="20" borderId="100" applyNumberFormat="0" applyAlignment="0" applyProtection="0"/>
    <xf numFmtId="0" fontId="21" fillId="20" borderId="99" applyNumberFormat="0" applyAlignment="0" applyProtection="0"/>
    <xf numFmtId="0" fontId="16" fillId="23" borderId="102" applyNumberFormat="0" applyFont="0" applyAlignment="0" applyProtection="0"/>
    <xf numFmtId="0" fontId="19" fillId="7" borderId="99" applyNumberFormat="0" applyAlignment="0" applyProtection="0"/>
    <xf numFmtId="0" fontId="21" fillId="20" borderId="99" applyNumberFormat="0" applyAlignment="0" applyProtection="0"/>
    <xf numFmtId="0" fontId="19" fillId="7" borderId="99" applyNumberFormat="0" applyAlignment="0" applyProtection="0"/>
  </cellStyleXfs>
  <cellXfs count="6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0" fontId="69"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8" xfId="67" applyFont="1" applyFill="1" applyBorder="1" applyAlignment="1">
      <alignment vertical="center" wrapText="1"/>
    </xf>
    <xf numFmtId="3" fontId="72" fillId="0" borderId="49" xfId="67" applyNumberFormat="1" applyFont="1" applyFill="1" applyBorder="1" applyAlignment="1">
      <alignment vertical="center"/>
    </xf>
    <xf numFmtId="3" fontId="73" fillId="0" borderId="49" xfId="67" applyNumberFormat="1" applyFont="1" applyFill="1" applyBorder="1" applyAlignment="1">
      <alignment vertical="center"/>
    </xf>
    <xf numFmtId="3" fontId="72" fillId="0" borderId="50" xfId="67" applyNumberFormat="1" applyFont="1" applyFill="1" applyBorder="1" applyAlignment="1">
      <alignment vertical="center"/>
    </xf>
    <xf numFmtId="0" fontId="55" fillId="0" borderId="48" xfId="62" applyFont="1" applyFill="1" applyBorder="1"/>
    <xf numFmtId="0" fontId="74" fillId="0" borderId="48"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2" fillId="0" borderId="51" xfId="67" applyNumberFormat="1" applyFont="1" applyFill="1" applyBorder="1" applyAlignment="1">
      <alignment vertical="center"/>
    </xf>
    <xf numFmtId="0" fontId="75" fillId="24" borderId="51" xfId="62" applyFont="1" applyFill="1" applyBorder="1" applyAlignment="1">
      <alignment horizontal="center" vertical="center" wrapText="1"/>
    </xf>
    <xf numFmtId="175" fontId="56" fillId="24" borderId="51" xfId="62" applyNumberFormat="1" applyFont="1" applyFill="1" applyBorder="1" applyAlignment="1">
      <alignment horizontal="center" vertical="center" wrapText="1"/>
    </xf>
    <xf numFmtId="9" fontId="56" fillId="24" borderId="51" xfId="62" applyNumberFormat="1" applyFont="1" applyFill="1" applyBorder="1" applyAlignment="1">
      <alignment horizontal="center" vertical="center" wrapText="1"/>
    </xf>
    <xf numFmtId="4" fontId="56"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6" fillId="0" borderId="51" xfId="62" applyFont="1" applyBorder="1" applyAlignment="1">
      <alignment wrapText="1"/>
    </xf>
    <xf numFmtId="3" fontId="56" fillId="26" borderId="51" xfId="62" applyNumberFormat="1" applyFont="1" applyFill="1" applyBorder="1" applyAlignment="1">
      <alignment horizontal="center"/>
    </xf>
    <xf numFmtId="0" fontId="56" fillId="0" borderId="53" xfId="62" applyFont="1" applyBorder="1" applyAlignment="1">
      <alignment wrapText="1"/>
    </xf>
    <xf numFmtId="3" fontId="56" fillId="0" borderId="53" xfId="62" applyNumberFormat="1" applyFont="1" applyFill="1" applyBorder="1"/>
    <xf numFmtId="4" fontId="56" fillId="0" borderId="51" xfId="62" applyNumberFormat="1" applyFont="1" applyFill="1" applyBorder="1" applyAlignment="1">
      <alignment horizontal="center"/>
    </xf>
    <xf numFmtId="4" fontId="56" fillId="25" borderId="51" xfId="62" applyNumberFormat="1" applyFont="1" applyFill="1" applyBorder="1" applyAlignment="1">
      <alignment horizontal="center"/>
    </xf>
    <xf numFmtId="0" fontId="56" fillId="0" borderId="51" xfId="62" applyFont="1" applyBorder="1"/>
    <xf numFmtId="10" fontId="56" fillId="25" borderId="51" xfId="62" applyNumberFormat="1" applyFont="1" applyFill="1" applyBorder="1"/>
    <xf numFmtId="10" fontId="56" fillId="0" borderId="51" xfId="62" applyNumberFormat="1" applyFont="1" applyBorder="1"/>
    <xf numFmtId="0" fontId="56" fillId="0" borderId="53" xfId="62" applyFont="1" applyFill="1" applyBorder="1"/>
    <xf numFmtId="10" fontId="56" fillId="0" borderId="53" xfId="62" applyNumberFormat="1" applyFont="1" applyFill="1" applyBorder="1"/>
    <xf numFmtId="3" fontId="7" fillId="0" borderId="51" xfId="67" applyNumberFormat="1" applyFont="1" applyFill="1" applyBorder="1" applyAlignment="1">
      <alignment horizontal="right" vertical="center"/>
    </xf>
    <xf numFmtId="167" fontId="36" fillId="0" borderId="5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76" fillId="28" borderId="51" xfId="62" applyNumberFormat="1" applyFont="1" applyFill="1" applyBorder="1" applyAlignment="1">
      <alignment horizontal="center"/>
    </xf>
    <xf numFmtId="0" fontId="11" fillId="0" borderId="0" xfId="62" applyFont="1" applyFill="1" applyAlignment="1">
      <alignment horizontal="center" vertical="center"/>
    </xf>
    <xf numFmtId="0" fontId="11" fillId="0" borderId="0" xfId="62" applyFont="1" applyAlignment="1">
      <alignment horizontal="center" vertical="center" wrapText="1"/>
    </xf>
    <xf numFmtId="0" fontId="41" fillId="0" borderId="31"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5" xfId="1" applyFont="1" applyFill="1" applyBorder="1" applyAlignment="1">
      <alignment vertical="center" wrapText="1"/>
    </xf>
    <xf numFmtId="0" fontId="7" fillId="0" borderId="55"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29" borderId="0" xfId="0" applyFont="1" applyFill="1" applyAlignment="1">
      <alignment horizontal="left" vertical="center"/>
    </xf>
    <xf numFmtId="0" fontId="11" fillId="0" borderId="55" xfId="2" applyFont="1" applyFill="1" applyBorder="1" applyAlignment="1">
      <alignment vertical="center" wrapText="1"/>
    </xf>
    <xf numFmtId="0" fontId="11" fillId="0" borderId="31" xfId="69" applyFill="1" applyBorder="1" applyAlignment="1">
      <alignment horizontal="left" vertical="center" wrapText="1"/>
    </xf>
    <xf numFmtId="0" fontId="7" fillId="0" borderId="56" xfId="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0" fontId="5" fillId="0" borderId="0" xfId="1" applyFont="1" applyFill="1" applyAlignment="1">
      <alignment horizontal="center" vertical="center"/>
    </xf>
    <xf numFmtId="0" fontId="7" fillId="0" borderId="23"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7" xfId="1" applyFont="1" applyFill="1" applyBorder="1" applyAlignment="1">
      <alignment horizontal="left" vertical="center" wrapText="1"/>
    </xf>
    <xf numFmtId="0" fontId="7" fillId="0" borderId="57" xfId="1" applyFont="1" applyBorder="1" applyAlignment="1">
      <alignment vertic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5" xfId="0" applyFont="1" applyBorder="1" applyAlignment="1">
      <alignment wrapText="1"/>
    </xf>
    <xf numFmtId="0" fontId="78" fillId="0" borderId="55" xfId="0" applyFont="1" applyFill="1" applyBorder="1" applyAlignment="1">
      <alignment wrapText="1"/>
    </xf>
    <xf numFmtId="0" fontId="78" fillId="0" borderId="55" xfId="0" applyFont="1" applyBorder="1" applyAlignment="1">
      <alignment horizontal="center" vertical="center"/>
    </xf>
    <xf numFmtId="0" fontId="78" fillId="0" borderId="55" xfId="0" applyFont="1" applyBorder="1"/>
    <xf numFmtId="0" fontId="78" fillId="0" borderId="55" xfId="0" applyFont="1" applyFill="1" applyBorder="1" applyAlignment="1">
      <alignment horizontal="center" vertical="center"/>
    </xf>
    <xf numFmtId="0" fontId="78" fillId="0" borderId="54" xfId="0" applyFont="1" applyFill="1" applyBorder="1" applyAlignment="1">
      <alignment horizontal="center" vertical="center"/>
    </xf>
    <xf numFmtId="0" fontId="87" fillId="0" borderId="55" xfId="0" applyFont="1" applyBorder="1" applyAlignment="1">
      <alignment horizontal="center" vertical="center" wrapText="1"/>
    </xf>
    <xf numFmtId="0" fontId="78" fillId="0" borderId="55" xfId="0" applyFont="1" applyBorder="1" applyAlignment="1">
      <alignment horizontal="center" vertical="center" wrapText="1"/>
    </xf>
    <xf numFmtId="0" fontId="80" fillId="0" borderId="0" xfId="0" applyFont="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7" xfId="1" applyNumberFormat="1" applyFont="1" applyBorder="1" applyAlignment="1">
      <alignment vertical="center"/>
    </xf>
    <xf numFmtId="0" fontId="11" fillId="0" borderId="59" xfId="2" applyFont="1" applyFill="1" applyBorder="1" applyAlignment="1">
      <alignment vertical="center" wrapText="1"/>
    </xf>
    <xf numFmtId="0" fontId="4" fillId="0" borderId="57" xfId="1" applyFont="1" applyBorder="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2" fontId="40" fillId="0" borderId="34" xfId="2" applyNumberFormat="1" applyFont="1" applyFill="1" applyBorder="1" applyAlignment="1">
      <alignment horizontal="left" vertical="center" wrapText="1"/>
    </xf>
    <xf numFmtId="2" fontId="40" fillId="27" borderId="34" xfId="2" applyNumberFormat="1" applyFont="1" applyFill="1" applyBorder="1" applyAlignment="1">
      <alignment horizontal="left" vertical="center" wrapText="1"/>
    </xf>
    <xf numFmtId="4" fontId="42" fillId="0" borderId="40"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41" fillId="0" borderId="32" xfId="2" applyFont="1" applyFill="1" applyBorder="1" applyAlignment="1">
      <alignment horizontal="center" vertical="center" wrapText="1"/>
    </xf>
    <xf numFmtId="2" fontId="11" fillId="0" borderId="0" xfId="62" applyNumberFormat="1" applyFont="1" applyAlignment="1">
      <alignment horizontal="left"/>
    </xf>
    <xf numFmtId="0" fontId="42" fillId="0" borderId="57" xfId="2" applyFont="1" applyFill="1" applyBorder="1" applyAlignment="1">
      <alignment horizontal="center" vertical="center" wrapText="1"/>
    </xf>
    <xf numFmtId="0" fontId="42" fillId="0" borderId="0" xfId="2" applyFont="1" applyFill="1" applyAlignment="1">
      <alignment horizontal="center" vertical="top" wrapText="1"/>
    </xf>
    <xf numFmtId="2" fontId="76" fillId="26" borderId="51" xfId="62" applyNumberFormat="1" applyFont="1" applyFill="1" applyBorder="1" applyAlignment="1">
      <alignment horizontal="center" vertical="center" wrapText="1"/>
    </xf>
    <xf numFmtId="14" fontId="11" fillId="0" borderId="66" xfId="2" applyNumberFormat="1" applyFont="1" applyFill="1" applyBorder="1" applyAlignment="1">
      <alignment horizontal="center" vertical="center" wrapText="1" shrinkToFit="1"/>
    </xf>
    <xf numFmtId="0" fontId="11" fillId="0" borderId="66" xfId="2" applyFont="1" applyBorder="1" applyAlignment="1">
      <alignment horizontal="center" vertical="center" wrapText="1"/>
    </xf>
    <xf numFmtId="0" fontId="11" fillId="0" borderId="66" xfId="2" applyFont="1" applyFill="1" applyBorder="1"/>
    <xf numFmtId="176" fontId="42" fillId="0" borderId="66" xfId="2" applyNumberFormat="1" applyFont="1" applyFill="1" applyBorder="1" applyAlignment="1">
      <alignment horizontal="center" vertical="center" wrapText="1"/>
    </xf>
    <xf numFmtId="176" fontId="39" fillId="0" borderId="66" xfId="2" applyNumberFormat="1" applyFont="1" applyFill="1" applyBorder="1" applyAlignment="1">
      <alignment horizontal="center" vertical="center" wrapText="1"/>
    </xf>
    <xf numFmtId="176" fontId="11" fillId="0" borderId="66" xfId="2" applyNumberFormat="1" applyFont="1" applyFill="1" applyBorder="1" applyAlignment="1">
      <alignment horizontal="center" vertical="center" wrapText="1"/>
    </xf>
    <xf numFmtId="176" fontId="11" fillId="0" borderId="66" xfId="0" applyNumberFormat="1" applyFont="1" applyFill="1" applyBorder="1" applyAlignment="1">
      <alignment horizontal="center" vertical="center"/>
    </xf>
    <xf numFmtId="176" fontId="42" fillId="0" borderId="66" xfId="0" applyNumberFormat="1" applyFont="1" applyFill="1" applyBorder="1" applyAlignment="1">
      <alignment horizontal="center" vertical="center"/>
    </xf>
    <xf numFmtId="0" fontId="42" fillId="0" borderId="68" xfId="2" applyFont="1" applyFill="1" applyBorder="1" applyAlignment="1">
      <alignment horizontal="center" vertical="center" wrapText="1"/>
    </xf>
    <xf numFmtId="0" fontId="11" fillId="0" borderId="68" xfId="2" applyFont="1" applyFill="1" applyBorder="1" applyAlignment="1">
      <alignment horizontal="center" vertical="center" wrapText="1"/>
    </xf>
    <xf numFmtId="0" fontId="42" fillId="0" borderId="67"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xf numFmtId="176" fontId="42" fillId="0" borderId="67" xfId="2" applyNumberFormat="1" applyFont="1" applyFill="1" applyBorder="1" applyAlignment="1">
      <alignment horizontal="center" vertical="center" wrapText="1"/>
    </xf>
    <xf numFmtId="176" fontId="42" fillId="0" borderId="67" xfId="2" applyNumberFormat="1" applyFont="1" applyBorder="1" applyAlignment="1">
      <alignment horizontal="center" vertical="center"/>
    </xf>
    <xf numFmtId="0" fontId="91" fillId="30" borderId="71" xfId="62" applyFont="1" applyFill="1" applyBorder="1" applyAlignment="1">
      <alignment horizontal="center" wrapText="1"/>
    </xf>
    <xf numFmtId="0" fontId="44" fillId="0" borderId="71" xfId="62" applyBorder="1" applyAlignment="1">
      <alignment horizontal="center" vertical="center" wrapText="1"/>
    </xf>
    <xf numFmtId="0" fontId="44" fillId="0" borderId="71" xfId="62" applyFont="1" applyFill="1" applyBorder="1" applyAlignment="1">
      <alignment horizontal="left" vertical="center" wrapText="1"/>
    </xf>
    <xf numFmtId="0" fontId="44" fillId="0" borderId="71" xfId="62" applyFont="1" applyFill="1" applyBorder="1" applyAlignment="1">
      <alignment horizontal="center" vertical="center" wrapText="1"/>
    </xf>
    <xf numFmtId="4" fontId="44" fillId="0" borderId="71" xfId="62" applyNumberFormat="1" applyBorder="1" applyAlignment="1">
      <alignment horizontal="center" vertical="center"/>
    </xf>
    <xf numFmtId="0" fontId="44" fillId="28" borderId="71" xfId="62" applyFont="1" applyFill="1" applyBorder="1" applyAlignment="1">
      <alignment horizontal="center" vertical="center" wrapText="1"/>
    </xf>
    <xf numFmtId="167" fontId="94" fillId="0" borderId="0" xfId="67" applyNumberFormat="1" applyFont="1" applyFill="1" applyBorder="1" applyAlignment="1">
      <alignment horizontal="center" vertical="center"/>
    </xf>
    <xf numFmtId="14" fontId="11" fillId="0" borderId="72" xfId="2" applyNumberFormat="1" applyFont="1" applyFill="1" applyBorder="1" applyAlignment="1">
      <alignment horizontal="center" vertical="center" wrapText="1" shrinkToFit="1"/>
    </xf>
    <xf numFmtId="0" fontId="11" fillId="0" borderId="72" xfId="2" applyFont="1" applyFill="1" applyBorder="1" applyAlignment="1">
      <alignment horizontal="center" vertical="center" wrapText="1"/>
    </xf>
    <xf numFmtId="0" fontId="11" fillId="0" borderId="72" xfId="2" applyNumberFormat="1" applyFont="1" applyFill="1" applyBorder="1" applyAlignment="1">
      <alignment horizontal="center" vertical="center" wrapText="1"/>
    </xf>
    <xf numFmtId="49" fontId="37" fillId="0" borderId="72" xfId="49" applyNumberFormat="1" applyFont="1" applyBorder="1" applyAlignment="1">
      <alignment horizontal="center" vertical="center" wrapText="1"/>
    </xf>
    <xf numFmtId="167" fontId="37" fillId="0" borderId="72" xfId="49" applyNumberFormat="1" applyFont="1" applyBorder="1" applyAlignment="1">
      <alignment horizontal="center" vertical="center" wrapText="1"/>
    </xf>
    <xf numFmtId="1" fontId="37" fillId="0" borderId="72" xfId="49" applyNumberFormat="1" applyFont="1" applyBorder="1" applyAlignment="1">
      <alignment horizontal="center" vertical="center" wrapText="1"/>
    </xf>
    <xf numFmtId="14" fontId="37" fillId="0" borderId="72" xfId="49" applyNumberFormat="1" applyFont="1" applyBorder="1" applyAlignment="1">
      <alignment horizontal="center" vertical="center" wrapText="1"/>
    </xf>
    <xf numFmtId="49" fontId="37" fillId="0" borderId="72" xfId="49" applyNumberFormat="1" applyFont="1" applyBorder="1" applyAlignment="1">
      <alignment horizontal="center" vertical="center"/>
    </xf>
    <xf numFmtId="14" fontId="37" fillId="0" borderId="72" xfId="49" applyNumberFormat="1" applyFont="1" applyBorder="1" applyAlignment="1">
      <alignment horizontal="center" vertical="center"/>
    </xf>
    <xf numFmtId="1" fontId="37" fillId="0" borderId="72" xfId="49" applyNumberFormat="1" applyFont="1" applyBorder="1" applyAlignment="1">
      <alignment horizontal="center" vertical="center"/>
    </xf>
    <xf numFmtId="167" fontId="36" fillId="0" borderId="0" xfId="49" applyNumberFormat="1" applyFont="1"/>
    <xf numFmtId="2" fontId="37" fillId="0" borderId="72" xfId="49" applyNumberFormat="1" applyFont="1" applyBorder="1" applyAlignment="1">
      <alignment horizontal="center" vertical="center"/>
    </xf>
    <xf numFmtId="0" fontId="40" fillId="31" borderId="31" xfId="2" applyFont="1" applyFill="1" applyBorder="1" applyAlignment="1">
      <alignment horizontal="justify" vertical="top" wrapText="1"/>
    </xf>
    <xf numFmtId="2" fontId="40" fillId="31" borderId="34" xfId="2" applyNumberFormat="1" applyFont="1" applyFill="1" applyBorder="1" applyAlignment="1">
      <alignment horizontal="left" vertical="center" wrapText="1"/>
    </xf>
    <xf numFmtId="2" fontId="11" fillId="0" borderId="0" xfId="2" applyNumberFormat="1" applyFont="1" applyFill="1"/>
    <xf numFmtId="14" fontId="11" fillId="0" borderId="73" xfId="2" applyNumberFormat="1" applyFont="1" applyFill="1" applyBorder="1" applyAlignment="1">
      <alignment horizontal="center" vertical="center" wrapText="1" shrinkToFit="1"/>
    </xf>
    <xf numFmtId="0" fontId="39" fillId="0" borderId="57" xfId="1" applyFont="1" applyBorder="1" applyAlignment="1">
      <alignment horizontal="center" vertical="center" wrapText="1"/>
    </xf>
    <xf numFmtId="14" fontId="11" fillId="0" borderId="74" xfId="2" applyNumberFormat="1" applyFont="1" applyFill="1" applyBorder="1" applyAlignment="1">
      <alignment horizontal="center" vertical="center" wrapText="1" shrinkToFit="1"/>
    </xf>
    <xf numFmtId="0" fontId="11" fillId="0" borderId="75" xfId="2" applyFont="1" applyFill="1" applyBorder="1" applyAlignment="1">
      <alignment horizontal="center" vertical="center" wrapText="1"/>
    </xf>
    <xf numFmtId="0" fontId="42" fillId="0" borderId="74" xfId="2" applyFont="1" applyFill="1" applyBorder="1" applyAlignment="1">
      <alignment horizontal="center" vertical="center" wrapText="1"/>
    </xf>
    <xf numFmtId="176" fontId="42" fillId="0" borderId="74"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0" fillId="0" borderId="0" xfId="0"/>
    <xf numFmtId="0" fontId="11" fillId="0" borderId="0" xfId="62" applyFont="1" applyAlignment="1">
      <alignment horizontal="left" vertical="center"/>
    </xf>
    <xf numFmtId="0" fontId="11" fillId="0" borderId="74" xfId="62" applyFont="1" applyFill="1" applyBorder="1" applyAlignment="1">
      <alignment horizontal="center" vertical="center" wrapText="1"/>
    </xf>
    <xf numFmtId="0" fontId="11" fillId="0" borderId="74" xfId="62" applyFont="1" applyFill="1" applyBorder="1" applyAlignment="1">
      <alignment horizontal="center" vertical="center"/>
    </xf>
    <xf numFmtId="49" fontId="11" fillId="0" borderId="74" xfId="62" applyNumberFormat="1" applyFont="1" applyFill="1" applyBorder="1" applyAlignment="1">
      <alignment horizontal="center" vertical="center" wrapText="1"/>
    </xf>
    <xf numFmtId="168" fontId="11" fillId="0" borderId="0" xfId="62" applyNumberFormat="1" applyFont="1" applyAlignment="1">
      <alignment horizontal="left"/>
    </xf>
    <xf numFmtId="0" fontId="11" fillId="0" borderId="0" xfId="62" applyFont="1" applyAlignment="1">
      <alignment horizontal="left" wrapText="1"/>
    </xf>
    <xf numFmtId="0" fontId="36" fillId="0" borderId="0" xfId="0" applyFont="1" applyFill="1" applyBorder="1" applyAlignment="1">
      <alignment vertical="top" wrapText="1"/>
    </xf>
    <xf numFmtId="0" fontId="11" fillId="0" borderId="0" xfId="62" applyFont="1" applyFill="1" applyBorder="1" applyAlignment="1">
      <alignment vertical="center" wrapText="1"/>
    </xf>
    <xf numFmtId="0" fontId="66" fillId="0" borderId="0" xfId="62" applyFont="1" applyFill="1" applyBorder="1" applyAlignment="1">
      <alignment horizontal="center" vertical="center" wrapText="1"/>
    </xf>
    <xf numFmtId="0" fontId="7" fillId="0" borderId="74" xfId="0" applyFont="1" applyBorder="1" applyAlignment="1">
      <alignment horizontal="center" vertical="center" wrapText="1"/>
    </xf>
    <xf numFmtId="0" fontId="11" fillId="0" borderId="0" xfId="62" applyFont="1" applyFill="1" applyBorder="1" applyAlignment="1">
      <alignment vertical="center"/>
    </xf>
    <xf numFmtId="0" fontId="11" fillId="0" borderId="74" xfId="62" applyFont="1" applyBorder="1" applyAlignment="1">
      <alignment horizontal="center" vertical="center"/>
    </xf>
    <xf numFmtId="0" fontId="11" fillId="0" borderId="6" xfId="62" applyFont="1" applyBorder="1" applyAlignment="1">
      <alignment horizontal="center" vertical="center" wrapText="1"/>
    </xf>
    <xf numFmtId="0" fontId="11" fillId="0" borderId="74" xfId="62" applyFont="1" applyBorder="1" applyAlignment="1">
      <alignment horizontal="center" vertical="center" wrapText="1"/>
    </xf>
    <xf numFmtId="0" fontId="11" fillId="31" borderId="74" xfId="62" applyFont="1" applyFill="1" applyBorder="1" applyAlignment="1">
      <alignment horizontal="center" vertical="center"/>
    </xf>
    <xf numFmtId="0" fontId="11" fillId="0" borderId="74" xfId="62" applyNumberFormat="1" applyFont="1" applyFill="1" applyBorder="1" applyAlignment="1">
      <alignment horizontal="center" vertical="center" wrapText="1"/>
    </xf>
    <xf numFmtId="168" fontId="11" fillId="31" borderId="74" xfId="62" applyNumberFormat="1" applyFont="1" applyFill="1" applyBorder="1" applyAlignment="1">
      <alignment horizontal="center" vertical="center" wrapText="1"/>
    </xf>
    <xf numFmtId="49" fontId="11" fillId="29" borderId="74" xfId="62" applyNumberFormat="1" applyFont="1" applyFill="1" applyBorder="1" applyAlignment="1">
      <alignment horizontal="center" vertical="center" wrapText="1"/>
    </xf>
    <xf numFmtId="49" fontId="11" fillId="0" borderId="74" xfId="62" applyNumberFormat="1" applyFont="1" applyBorder="1" applyAlignment="1">
      <alignment horizontal="center" vertical="center" wrapText="1"/>
    </xf>
    <xf numFmtId="168" fontId="11" fillId="0" borderId="74" xfId="62" applyNumberFormat="1" applyFont="1" applyFill="1" applyBorder="1" applyAlignment="1">
      <alignment horizontal="center" vertical="center" wrapText="1"/>
    </xf>
    <xf numFmtId="49" fontId="11" fillId="31" borderId="74" xfId="62" applyNumberFormat="1" applyFont="1" applyFill="1" applyBorder="1" applyAlignment="1">
      <alignment horizontal="center" vertical="center" wrapText="1"/>
    </xf>
    <xf numFmtId="0" fontId="11" fillId="0" borderId="74" xfId="62" applyFont="1" applyFill="1" applyBorder="1" applyAlignment="1">
      <alignment horizontal="center" vertical="center" wrapText="1"/>
    </xf>
    <xf numFmtId="49" fontId="11" fillId="0" borderId="74" xfId="62" applyNumberFormat="1" applyFont="1" applyFill="1" applyBorder="1" applyAlignment="1">
      <alignment horizontal="center" vertical="center"/>
    </xf>
    <xf numFmtId="0" fontId="11" fillId="0" borderId="74" xfId="62" applyFont="1" applyFill="1" applyBorder="1" applyAlignment="1">
      <alignment horizontal="center" vertical="center"/>
    </xf>
    <xf numFmtId="49" fontId="11" fillId="0" borderId="74" xfId="62" applyNumberFormat="1" applyFont="1" applyFill="1" applyBorder="1" applyAlignment="1">
      <alignment horizontal="center" vertical="center" wrapText="1"/>
    </xf>
    <xf numFmtId="0" fontId="7" fillId="0" borderId="74" xfId="0" applyFont="1" applyBorder="1" applyAlignment="1">
      <alignment horizontal="center" vertical="center" wrapText="1"/>
    </xf>
    <xf numFmtId="2" fontId="11" fillId="0" borderId="74" xfId="62" applyNumberFormat="1" applyFont="1" applyFill="1" applyBorder="1" applyAlignment="1">
      <alignment horizontal="center" vertical="center"/>
    </xf>
    <xf numFmtId="0" fontId="0" fillId="0" borderId="0" xfId="0"/>
    <xf numFmtId="0" fontId="11" fillId="0" borderId="0" xfId="62" applyFont="1" applyAlignment="1">
      <alignment horizontal="left"/>
    </xf>
    <xf numFmtId="168" fontId="11" fillId="0" borderId="0" xfId="62" applyNumberFormat="1" applyFont="1" applyAlignment="1">
      <alignment horizontal="left"/>
    </xf>
    <xf numFmtId="0" fontId="7" fillId="0" borderId="74" xfId="1" applyFont="1" applyFill="1" applyBorder="1" applyAlignment="1">
      <alignment vertical="center" wrapText="1"/>
    </xf>
    <xf numFmtId="0" fontId="11" fillId="0" borderId="74" xfId="1" applyFont="1" applyFill="1" applyBorder="1" applyAlignment="1">
      <alignment vertical="center" wrapText="1"/>
    </xf>
    <xf numFmtId="0" fontId="40" fillId="0" borderId="31" xfId="2" applyFont="1" applyFill="1" applyBorder="1" applyAlignment="1">
      <alignment horizontal="justify" vertical="top" wrapText="1"/>
    </xf>
    <xf numFmtId="0" fontId="1" fillId="0" borderId="103" xfId="50" applyBorder="1" applyAlignment="1">
      <alignment wrapText="1"/>
    </xf>
    <xf numFmtId="1" fontId="37" fillId="0" borderId="103" xfId="49" applyNumberFormat="1" applyFont="1" applyBorder="1" applyAlignment="1">
      <alignment horizontal="center" vertical="center"/>
    </xf>
    <xf numFmtId="49" fontId="37" fillId="0" borderId="103" xfId="49" applyNumberFormat="1" applyFont="1" applyBorder="1" applyAlignment="1">
      <alignment horizontal="center" vertical="center"/>
    </xf>
    <xf numFmtId="14" fontId="37" fillId="0" borderId="103" xfId="49" applyNumberFormat="1" applyFont="1" applyBorder="1" applyAlignment="1">
      <alignment horizontal="center" vertical="center"/>
    </xf>
    <xf numFmtId="2" fontId="37" fillId="0" borderId="103" xfId="49" applyNumberFormat="1" applyFont="1" applyBorder="1" applyAlignment="1">
      <alignment horizontal="center" vertical="center"/>
    </xf>
    <xf numFmtId="49" fontId="37" fillId="0" borderId="103" xfId="49" applyNumberFormat="1" applyFont="1" applyBorder="1" applyAlignment="1">
      <alignment horizontal="center" vertical="center" wrapText="1"/>
    </xf>
    <xf numFmtId="167" fontId="37" fillId="0" borderId="103" xfId="49" applyNumberFormat="1" applyFont="1" applyBorder="1" applyAlignment="1">
      <alignment horizontal="center" vertical="center"/>
    </xf>
    <xf numFmtId="0" fontId="37" fillId="0" borderId="103" xfId="49" applyFont="1" applyBorder="1" applyAlignment="1">
      <alignment horizontal="center" vertical="center"/>
    </xf>
    <xf numFmtId="0" fontId="40" fillId="32" borderId="31" xfId="2" applyFont="1" applyFill="1" applyBorder="1" applyAlignment="1">
      <alignment horizontal="justify" vertical="top" wrapText="1"/>
    </xf>
    <xf numFmtId="2" fontId="40" fillId="32" borderId="34" xfId="2" applyNumberFormat="1" applyFont="1" applyFill="1" applyBorder="1" applyAlignment="1">
      <alignment horizontal="left" vertical="center" wrapText="1"/>
    </xf>
    <xf numFmtId="0" fontId="40" fillId="0" borderId="31" xfId="2" applyFont="1" applyBorder="1" applyAlignment="1">
      <alignment horizontal="justify" vertical="top" wrapText="1"/>
    </xf>
    <xf numFmtId="10" fontId="40" fillId="0" borderId="31" xfId="2" applyNumberFormat="1" applyFont="1" applyBorder="1" applyAlignment="1">
      <alignment horizontal="justify" vertical="top" wrapText="1"/>
    </xf>
    <xf numFmtId="2" fontId="40" fillId="0" borderId="34" xfId="2" applyNumberFormat="1" applyFont="1" applyBorder="1" applyAlignment="1">
      <alignment horizontal="left" vertical="center" wrapText="1"/>
    </xf>
    <xf numFmtId="0" fontId="41" fillId="0" borderId="31" xfId="2" applyFont="1" applyBorder="1" applyAlignment="1">
      <alignment horizontal="justify" vertical="center" wrapText="1"/>
    </xf>
    <xf numFmtId="4" fontId="41" fillId="0" borderId="31" xfId="2" applyNumberFormat="1" applyFont="1" applyBorder="1" applyAlignment="1">
      <alignment horizontal="justify" vertical="center" wrapText="1"/>
    </xf>
    <xf numFmtId="0" fontId="95" fillId="0" borderId="0" xfId="2" applyFont="1" applyAlignment="1">
      <alignment horizontal="center" vertical="center"/>
    </xf>
    <xf numFmtId="0" fontId="96" fillId="0" borderId="0" xfId="2" applyFont="1" applyAlignment="1">
      <alignment vertical="center"/>
    </xf>
    <xf numFmtId="0" fontId="40" fillId="33" borderId="31" xfId="2" applyFont="1" applyFill="1" applyBorder="1" applyAlignment="1">
      <alignment horizontal="justify" vertical="top" wrapText="1"/>
    </xf>
    <xf numFmtId="2" fontId="40" fillId="33" borderId="34" xfId="2" applyNumberFormat="1" applyFont="1" applyFill="1" applyBorder="1" applyAlignment="1">
      <alignment horizontal="left" vertical="center" wrapText="1"/>
    </xf>
    <xf numFmtId="0" fontId="11" fillId="34" borderId="0" xfId="2" applyFont="1" applyFill="1"/>
    <xf numFmtId="0" fontId="40" fillId="0" borderId="36" xfId="2" applyFont="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75"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74" xfId="62" applyFont="1" applyBorder="1" applyAlignment="1">
      <alignment horizontal="center" vertical="center" wrapText="1"/>
    </xf>
    <xf numFmtId="0" fontId="11" fillId="0" borderId="75" xfId="62" applyFont="1" applyFill="1" applyBorder="1" applyAlignment="1">
      <alignment horizontal="center" vertical="center" wrapText="1"/>
    </xf>
    <xf numFmtId="0" fontId="11" fillId="0" borderId="6"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7" fillId="0" borderId="75" xfId="62" applyFont="1" applyFill="1" applyBorder="1" applyAlignment="1">
      <alignment horizontal="center" vertical="center" wrapText="1"/>
    </xf>
    <xf numFmtId="0" fontId="7" fillId="0" borderId="6" xfId="62" applyFont="1" applyFill="1" applyBorder="1" applyAlignment="1">
      <alignment horizontal="center" vertical="center" wrapText="1"/>
    </xf>
    <xf numFmtId="0" fontId="7" fillId="0" borderId="2" xfId="62" applyFont="1" applyFill="1" applyBorder="1" applyAlignment="1">
      <alignment horizontal="center" vertical="center" wrapText="1"/>
    </xf>
    <xf numFmtId="0" fontId="7" fillId="0" borderId="7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49"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36" fillId="0" borderId="0" xfId="1" applyFont="1" applyAlignment="1">
      <alignment horizont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0" fontId="65" fillId="0" borderId="54" xfId="67" applyFont="1" applyFill="1" applyBorder="1" applyAlignment="1">
      <alignment horizontal="center" vertical="center" wrapText="1"/>
    </xf>
    <xf numFmtId="4" fontId="65" fillId="0" borderId="52" xfId="67" applyNumberFormat="1" applyFont="1" applyFill="1" applyBorder="1" applyAlignment="1">
      <alignment horizontal="center" vertical="center"/>
    </xf>
    <xf numFmtId="4" fontId="65" fillId="0" borderId="54" xfId="67" applyNumberFormat="1" applyFont="1" applyFill="1" applyBorder="1" applyAlignment="1">
      <alignment horizontal="center" vertical="center"/>
    </xf>
    <xf numFmtId="3" fontId="65" fillId="0" borderId="52" xfId="67" applyNumberFormat="1" applyFont="1" applyFill="1" applyBorder="1" applyAlignment="1">
      <alignment horizontal="center" vertical="center"/>
    </xf>
    <xf numFmtId="3" fontId="65" fillId="0" borderId="54" xfId="67" applyNumberFormat="1"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65" fillId="0" borderId="54"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5" xfId="2" applyFont="1" applyFill="1" applyBorder="1" applyAlignment="1">
      <alignment horizontal="center" vertical="center"/>
    </xf>
    <xf numFmtId="0" fontId="42" fillId="0" borderId="64" xfId="2" applyFont="1" applyFill="1" applyBorder="1" applyAlignment="1">
      <alignment horizontal="center" vertical="center"/>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7" xfId="52" applyFont="1" applyFill="1" applyBorder="1" applyAlignment="1">
      <alignment horizontal="center" vertical="center" wrapText="1"/>
    </xf>
    <xf numFmtId="0" fontId="42" fillId="0" borderId="69" xfId="52" applyFont="1" applyFill="1" applyBorder="1" applyAlignment="1">
      <alignment horizontal="center" vertical="center"/>
    </xf>
    <xf numFmtId="0" fontId="42" fillId="0" borderId="70" xfId="52" applyFont="1" applyFill="1" applyBorder="1" applyAlignment="1">
      <alignment horizontal="center" vertical="center"/>
    </xf>
    <xf numFmtId="0" fontId="42" fillId="0" borderId="67" xfId="2" applyFont="1" applyFill="1" applyBorder="1" applyAlignment="1">
      <alignment horizontal="center" vertical="center" wrapText="1"/>
    </xf>
    <xf numFmtId="0" fontId="42" fillId="0" borderId="58" xfId="2" applyFont="1" applyFill="1" applyBorder="1" applyAlignment="1">
      <alignment horizontal="center" vertical="center" wrapText="1"/>
    </xf>
    <xf numFmtId="0" fontId="42" fillId="0" borderId="67" xfId="2" applyFont="1" applyBorder="1" applyAlignment="1">
      <alignment horizontal="center" vertical="center"/>
    </xf>
    <xf numFmtId="0" fontId="39" fillId="0" borderId="6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1" fillId="0" borderId="104" xfId="62" applyFont="1" applyFill="1" applyBorder="1" applyAlignment="1">
      <alignment wrapText="1"/>
    </xf>
    <xf numFmtId="10" fontId="91" fillId="35" borderId="104" xfId="62" applyNumberFormat="1" applyFont="1" applyFill="1" applyBorder="1" applyAlignment="1">
      <alignment horizontal="center"/>
    </xf>
    <xf numFmtId="0" fontId="91" fillId="0" borderId="0" xfId="62" applyFont="1" applyFill="1" applyBorder="1"/>
    <xf numFmtId="0" fontId="47" fillId="0" borderId="105" xfId="67" applyFont="1" applyFill="1" applyBorder="1" applyAlignment="1">
      <alignment vertical="center" wrapText="1"/>
    </xf>
    <xf numFmtId="3" fontId="89" fillId="0" borderId="105" xfId="67" applyNumberFormat="1" applyFont="1" applyFill="1" applyBorder="1" applyAlignment="1">
      <alignment horizontal="center" vertical="center"/>
    </xf>
    <xf numFmtId="0" fontId="89" fillId="0" borderId="104" xfId="67" applyFont="1" applyFill="1" applyBorder="1" applyAlignment="1">
      <alignment horizontal="center" vertical="center"/>
    </xf>
    <xf numFmtId="0" fontId="90" fillId="0" borderId="104" xfId="62" applyFont="1" applyFill="1" applyBorder="1" applyAlignment="1">
      <alignment horizontal="center"/>
    </xf>
    <xf numFmtId="0" fontId="91" fillId="30" borderId="104" xfId="62" applyFont="1" applyFill="1" applyBorder="1" applyAlignment="1">
      <alignment horizontal="left" vertical="center" wrapText="1"/>
    </xf>
    <xf numFmtId="0" fontId="97" fillId="30" borderId="104" xfId="62" applyFont="1" applyFill="1" applyBorder="1" applyAlignment="1">
      <alignment horizont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0" xr:uid="{00000000-0005-0000-0000-000019000000}"/>
    <cellStyle name="Ввод  2 2 2" xfId="111" xr:uid="{00000000-0005-0000-0000-000019000000}"/>
    <cellStyle name="Ввод  2 3" xfId="84" xr:uid="{00000000-0005-0000-0000-000019000000}"/>
    <cellStyle name="Ввод  2 3 2" xfId="115" xr:uid="{00000000-0005-0000-0000-000019000000}"/>
    <cellStyle name="Ввод  2 4" xfId="87" xr:uid="{00000000-0005-0000-0000-000019000000}"/>
    <cellStyle name="Ввод  2 4 2" xfId="118" xr:uid="{00000000-0005-0000-0000-000019000000}"/>
    <cellStyle name="Ввод  2 5" xfId="96" xr:uid="{00000000-0005-0000-0000-000019000000}"/>
    <cellStyle name="Ввод  2 5 2" xfId="126" xr:uid="{00000000-0005-0000-0000-000019000000}"/>
    <cellStyle name="Ввод  2 6" xfId="99" xr:uid="{00000000-0005-0000-0000-000019000000}"/>
    <cellStyle name="Ввод  2 6 2" xfId="128" xr:uid="{00000000-0005-0000-0000-000019000000}"/>
    <cellStyle name="Ввод  2 7" xfId="100" xr:uid="{00000000-0005-0000-0000-000019000000}"/>
    <cellStyle name="Ввод  2 8" xfId="78" xr:uid="{00000000-0005-0000-0000-000019000000}"/>
    <cellStyle name="Вывод 2" xfId="30" xr:uid="{00000000-0005-0000-0000-00001A000000}"/>
    <cellStyle name="Вывод 2 2" xfId="81" xr:uid="{00000000-0005-0000-0000-00001A000000}"/>
    <cellStyle name="Вывод 2 2 2" xfId="112" xr:uid="{00000000-0005-0000-0000-00001A000000}"/>
    <cellStyle name="Вывод 2 3" xfId="83" xr:uid="{00000000-0005-0000-0000-00001A000000}"/>
    <cellStyle name="Вывод 2 3 2" xfId="114" xr:uid="{00000000-0005-0000-0000-00001A000000}"/>
    <cellStyle name="Вывод 2 4" xfId="93" xr:uid="{00000000-0005-0000-0000-00001A000000}"/>
    <cellStyle name="Вывод 2 4 2" xfId="123" xr:uid="{00000000-0005-0000-0000-00001A000000}"/>
    <cellStyle name="Вывод 2 5" xfId="86" xr:uid="{00000000-0005-0000-0000-00001A000000}"/>
    <cellStyle name="Вывод 2 5 2" xfId="117" xr:uid="{00000000-0005-0000-0000-00001A000000}"/>
    <cellStyle name="Вывод 2 6" xfId="91" xr:uid="{00000000-0005-0000-0000-00001A000000}"/>
    <cellStyle name="Вывод 2 6 2" xfId="121" xr:uid="{00000000-0005-0000-0000-00001A000000}"/>
    <cellStyle name="Вывод 2 7" xfId="101" xr:uid="{00000000-0005-0000-0000-00001A000000}"/>
    <cellStyle name="Вывод 2 8" xfId="77" xr:uid="{00000000-0005-0000-0000-00001A000000}"/>
    <cellStyle name="Вычисление 2" xfId="31" xr:uid="{00000000-0005-0000-0000-00001B000000}"/>
    <cellStyle name="Вычисление 2 2" xfId="82" xr:uid="{00000000-0005-0000-0000-00001B000000}"/>
    <cellStyle name="Вычисление 2 2 2" xfId="113" xr:uid="{00000000-0005-0000-0000-00001B000000}"/>
    <cellStyle name="Вычисление 2 3" xfId="79" xr:uid="{00000000-0005-0000-0000-00001B000000}"/>
    <cellStyle name="Вычисление 2 3 2" xfId="110" xr:uid="{00000000-0005-0000-0000-00001B000000}"/>
    <cellStyle name="Вычисление 2 4" xfId="92" xr:uid="{00000000-0005-0000-0000-00001B000000}"/>
    <cellStyle name="Вычисление 2 4 2" xfId="122" xr:uid="{00000000-0005-0000-0000-00001B000000}"/>
    <cellStyle name="Вычисление 2 5" xfId="94" xr:uid="{00000000-0005-0000-0000-00001B000000}"/>
    <cellStyle name="Вычисление 2 5 2" xfId="124" xr:uid="{00000000-0005-0000-0000-00001B000000}"/>
    <cellStyle name="Вычисление 2 6" xfId="97" xr:uid="{00000000-0005-0000-0000-00001B000000}"/>
    <cellStyle name="Вычисление 2 6 2" xfId="127" xr:uid="{00000000-0005-0000-0000-00001B000000}"/>
    <cellStyle name="Вычисление 2 7" xfId="102" xr:uid="{00000000-0005-0000-0000-00001B000000}"/>
    <cellStyle name="Вычисление 2 8" xfId="90"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5" xr:uid="{00000000-0005-0000-0000-000020000000}"/>
    <cellStyle name="Итог 2 2 2" xfId="116" xr:uid="{00000000-0005-0000-0000-000020000000}"/>
    <cellStyle name="Итог 2 3" xfId="76" xr:uid="{00000000-0005-0000-0000-000020000000}"/>
    <cellStyle name="Итог 2 3 2" xfId="109" xr:uid="{00000000-0005-0000-0000-000020000000}"/>
    <cellStyle name="Итог 2 4" xfId="74" xr:uid="{00000000-0005-0000-0000-000020000000}"/>
    <cellStyle name="Итог 2 4 2" xfId="107" xr:uid="{00000000-0005-0000-0000-000020000000}"/>
    <cellStyle name="Итог 2 5" xfId="75" xr:uid="{00000000-0005-0000-0000-000020000000}"/>
    <cellStyle name="Итог 2 5 2" xfId="108" xr:uid="{00000000-0005-0000-0000-000020000000}"/>
    <cellStyle name="Итог 2 6" xfId="73" xr:uid="{00000000-0005-0000-0000-000020000000}"/>
    <cellStyle name="Итог 2 6 2" xfId="106" xr:uid="{00000000-0005-0000-0000-000020000000}"/>
    <cellStyle name="Итог 2 7" xfId="103" xr:uid="{00000000-0005-0000-0000-000020000000}"/>
    <cellStyle name="Итог 2 8" xfId="72"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88" xr:uid="{00000000-0005-0000-0000-00003B000000}"/>
    <cellStyle name="Примечание 2 2 2" xfId="119" xr:uid="{00000000-0005-0000-0000-00003B000000}"/>
    <cellStyle name="Примечание 2 3" xfId="89" xr:uid="{00000000-0005-0000-0000-00003B000000}"/>
    <cellStyle name="Примечание 2 3 2" xfId="120" xr:uid="{00000000-0005-0000-0000-00003B000000}"/>
    <cellStyle name="Примечание 2 4" xfId="71" xr:uid="{00000000-0005-0000-0000-00003B000000}"/>
    <cellStyle name="Примечание 2 4 2" xfId="105" xr:uid="{00000000-0005-0000-0000-00003B000000}"/>
    <cellStyle name="Примечание 2 5" xfId="95" xr:uid="{00000000-0005-0000-0000-00003B000000}"/>
    <cellStyle name="Примечание 2 5 2" xfId="125" xr:uid="{00000000-0005-0000-0000-00003B000000}"/>
    <cellStyle name="Примечание 2 6" xfId="104" xr:uid="{00000000-0005-0000-0000-00003B000000}"/>
    <cellStyle name="Примечание 2 7" xfId="98" xr:uid="{00000000-0005-0000-0000-00003B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346828717544766"/>
          <c:h val="0.7749377102510073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1"/>
                <c:pt idx="0">
                  <c:v>-196091.97125082638</c:v>
                </c:pt>
                <c:pt idx="1">
                  <c:v>-7644457.6651950274</c:v>
                </c:pt>
                <c:pt idx="2">
                  <c:v>0</c:v>
                </c:pt>
                <c:pt idx="3">
                  <c:v>0</c:v>
                </c:pt>
                <c:pt idx="4">
                  <c:v>0</c:v>
                </c:pt>
                <c:pt idx="5">
                  <c:v>0</c:v>
                </c:pt>
                <c:pt idx="6">
                  <c:v>-72378.756067352937</c:v>
                </c:pt>
                <c:pt idx="7">
                  <c:v>0</c:v>
                </c:pt>
                <c:pt idx="8">
                  <c:v>0</c:v>
                </c:pt>
                <c:pt idx="9">
                  <c:v>0</c:v>
                </c:pt>
                <c:pt idx="10">
                  <c:v>0</c:v>
                </c:pt>
              </c:numCache>
            </c:numRef>
          </c:val>
          <c:smooth val="0"/>
          <c:extLst>
            <c:ext xmlns:c16="http://schemas.microsoft.com/office/drawing/2014/chart" uri="{C3380CC4-5D6E-409C-BE32-E72D297353CC}">
              <c16:uniqueId val="{00000000-A11A-41EF-B12F-788E2AF104B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1"/>
                <c:pt idx="0">
                  <c:v>-196091.97125082638</c:v>
                </c:pt>
                <c:pt idx="1">
                  <c:v>-7840549.6364458539</c:v>
                </c:pt>
                <c:pt idx="2">
                  <c:v>-7840549.6364458539</c:v>
                </c:pt>
                <c:pt idx="3">
                  <c:v>-7840549.6364458539</c:v>
                </c:pt>
                <c:pt idx="4">
                  <c:v>-7840549.6364458539</c:v>
                </c:pt>
                <c:pt idx="5">
                  <c:v>-7840549.6364458539</c:v>
                </c:pt>
                <c:pt idx="6">
                  <c:v>-7912928.3925132072</c:v>
                </c:pt>
                <c:pt idx="7">
                  <c:v>-7912928.3925132072</c:v>
                </c:pt>
                <c:pt idx="8">
                  <c:v>-7912928.3925132072</c:v>
                </c:pt>
                <c:pt idx="9">
                  <c:v>-7912928.3925132072</c:v>
                </c:pt>
                <c:pt idx="10">
                  <c:v>-7912928.3925132072</c:v>
                </c:pt>
              </c:numCache>
            </c:numRef>
          </c:val>
          <c:smooth val="0"/>
          <c:extLst>
            <c:ext xmlns:c16="http://schemas.microsoft.com/office/drawing/2014/chart" uri="{C3380CC4-5D6E-409C-BE32-E72D297353CC}">
              <c16:uniqueId val="{00000000-AC8B-46C3-85B0-2BCF09387CE4}"/>
            </c:ext>
          </c:extLst>
        </c:ser>
        <c:dLbls>
          <c:showLegendKey val="0"/>
          <c:showVal val="0"/>
          <c:showCatName val="0"/>
          <c:showSerName val="0"/>
          <c:showPercent val="0"/>
          <c:showBubbleSize val="0"/>
        </c:dLbls>
        <c:smooth val="0"/>
        <c:axId val="886563952"/>
        <c:axId val="886554160"/>
      </c:lineChart>
      <c:catAx>
        <c:axId val="886563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6554160"/>
        <c:crosses val="autoZero"/>
        <c:auto val="1"/>
        <c:lblAlgn val="ctr"/>
        <c:lblOffset val="100"/>
        <c:noMultiLvlLbl val="0"/>
      </c:catAx>
      <c:valAx>
        <c:axId val="8865541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86563952"/>
        <c:crosses val="autoZero"/>
        <c:crossBetween val="between"/>
      </c:valAx>
    </c:plotArea>
    <c:legend>
      <c:legendPos val="r"/>
      <c:layout>
        <c:manualLayout>
          <c:xMode val="edge"/>
          <c:yMode val="edge"/>
          <c:x val="8.1923173559106596E-2"/>
          <c:y val="0.89000083443326816"/>
          <c:w val="0.86419291993585345"/>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176213</xdr:rowOff>
    </xdr:from>
    <xdr:to>
      <xdr:col>8</xdr:col>
      <xdr:colOff>0</xdr:colOff>
      <xdr:row>45</xdr:row>
      <xdr:rowOff>23813</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80" zoomScaleSheetLayoutView="80" workbookViewId="0">
      <selection activeCell="C23" sqref="C23"/>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49"/>
      <c r="C1" s="250" t="s">
        <v>65</v>
      </c>
    </row>
    <row r="2" spans="1:22" s="15" customFormat="1" ht="18.75" customHeight="1" x14ac:dyDescent="0.3">
      <c r="A2" s="249"/>
      <c r="C2" s="251" t="s">
        <v>7</v>
      </c>
    </row>
    <row r="3" spans="1:22" s="15" customFormat="1" ht="18.75" x14ac:dyDescent="0.3">
      <c r="A3" s="252"/>
      <c r="C3" s="251" t="s">
        <v>513</v>
      </c>
    </row>
    <row r="4" spans="1:22" s="15" customFormat="1" ht="18.75" x14ac:dyDescent="0.3">
      <c r="A4" s="252"/>
      <c r="H4" s="251"/>
    </row>
    <row r="5" spans="1:22" s="15" customFormat="1" ht="15.75" x14ac:dyDescent="0.25">
      <c r="A5" s="459" t="s">
        <v>598</v>
      </c>
      <c r="B5" s="459"/>
      <c r="C5" s="459"/>
      <c r="D5" s="102"/>
      <c r="E5" s="102"/>
      <c r="F5" s="102"/>
      <c r="G5" s="102"/>
      <c r="H5" s="102"/>
      <c r="I5" s="102"/>
      <c r="J5" s="102"/>
    </row>
    <row r="6" spans="1:22" s="15" customFormat="1" ht="18.75" x14ac:dyDescent="0.3">
      <c r="A6" s="252"/>
      <c r="H6" s="251"/>
    </row>
    <row r="7" spans="1:22" s="15" customFormat="1" ht="18.75" x14ac:dyDescent="0.2">
      <c r="A7" s="463" t="s">
        <v>6</v>
      </c>
      <c r="B7" s="463"/>
      <c r="C7" s="463"/>
      <c r="D7" s="253"/>
      <c r="E7" s="253"/>
      <c r="F7" s="253"/>
      <c r="G7" s="253"/>
      <c r="H7" s="253"/>
      <c r="I7" s="253"/>
      <c r="J7" s="253"/>
      <c r="K7" s="253"/>
      <c r="L7" s="253"/>
      <c r="M7" s="253"/>
      <c r="N7" s="253"/>
      <c r="O7" s="253"/>
      <c r="P7" s="253"/>
      <c r="Q7" s="253"/>
      <c r="R7" s="253"/>
      <c r="S7" s="253"/>
      <c r="T7" s="253"/>
      <c r="U7" s="253"/>
      <c r="V7" s="253"/>
    </row>
    <row r="8" spans="1:22" s="15" customFormat="1" ht="18.75" x14ac:dyDescent="0.2">
      <c r="A8" s="287"/>
      <c r="B8" s="287"/>
      <c r="C8" s="287"/>
      <c r="D8" s="254"/>
      <c r="E8" s="254"/>
      <c r="F8" s="254"/>
      <c r="G8" s="254"/>
      <c r="H8" s="254"/>
      <c r="I8" s="253"/>
      <c r="J8" s="253"/>
      <c r="K8" s="253"/>
      <c r="L8" s="253"/>
      <c r="M8" s="253"/>
      <c r="N8" s="253"/>
      <c r="O8" s="253"/>
      <c r="P8" s="253"/>
      <c r="Q8" s="253"/>
      <c r="R8" s="253"/>
      <c r="S8" s="253"/>
      <c r="T8" s="253"/>
      <c r="U8" s="253"/>
      <c r="V8" s="253"/>
    </row>
    <row r="9" spans="1:22" s="15" customFormat="1" ht="18.75" x14ac:dyDescent="0.2">
      <c r="A9" s="464" t="s">
        <v>577</v>
      </c>
      <c r="B9" s="464"/>
      <c r="C9" s="464"/>
      <c r="D9" s="255"/>
      <c r="E9" s="255"/>
      <c r="F9" s="255"/>
      <c r="G9" s="255"/>
      <c r="H9" s="255"/>
      <c r="I9" s="253"/>
      <c r="J9" s="253"/>
      <c r="K9" s="253"/>
      <c r="L9" s="253"/>
      <c r="M9" s="253"/>
      <c r="N9" s="253"/>
      <c r="O9" s="253"/>
      <c r="P9" s="253"/>
      <c r="Q9" s="253"/>
      <c r="R9" s="253"/>
      <c r="S9" s="253"/>
      <c r="T9" s="253"/>
      <c r="U9" s="253"/>
      <c r="V9" s="253"/>
    </row>
    <row r="10" spans="1:22" s="15" customFormat="1" ht="18.75" x14ac:dyDescent="0.2">
      <c r="A10" s="460" t="s">
        <v>5</v>
      </c>
      <c r="B10" s="460"/>
      <c r="C10" s="460"/>
      <c r="D10" s="256"/>
      <c r="E10" s="256"/>
      <c r="F10" s="256"/>
      <c r="G10" s="256"/>
      <c r="H10" s="256"/>
      <c r="I10" s="253"/>
      <c r="J10" s="253"/>
      <c r="K10" s="253"/>
      <c r="L10" s="253"/>
      <c r="M10" s="253"/>
      <c r="N10" s="253"/>
      <c r="O10" s="253"/>
      <c r="P10" s="253"/>
      <c r="Q10" s="253"/>
      <c r="R10" s="253"/>
      <c r="S10" s="253"/>
      <c r="T10" s="253"/>
      <c r="U10" s="253"/>
      <c r="V10" s="253"/>
    </row>
    <row r="11" spans="1:22" s="15" customFormat="1" ht="18.75" x14ac:dyDescent="0.2">
      <c r="A11" s="287"/>
      <c r="B11" s="287"/>
      <c r="C11" s="287"/>
      <c r="D11" s="254"/>
      <c r="E11" s="254"/>
      <c r="F11" s="254"/>
      <c r="G11" s="254"/>
      <c r="H11" s="254"/>
      <c r="I11" s="253"/>
      <c r="J11" s="253"/>
      <c r="K11" s="253"/>
      <c r="L11" s="253"/>
      <c r="M11" s="253"/>
      <c r="N11" s="253"/>
      <c r="O11" s="253"/>
      <c r="P11" s="253"/>
      <c r="Q11" s="253"/>
      <c r="R11" s="253"/>
      <c r="S11" s="253"/>
      <c r="T11" s="253"/>
      <c r="U11" s="253"/>
      <c r="V11" s="253"/>
    </row>
    <row r="12" spans="1:22" s="15" customFormat="1" ht="18.75" x14ac:dyDescent="0.2">
      <c r="A12" s="465" t="s">
        <v>536</v>
      </c>
      <c r="B12" s="465"/>
      <c r="C12" s="465"/>
      <c r="D12" s="255"/>
      <c r="E12" s="255"/>
      <c r="F12" s="255"/>
      <c r="G12" s="255"/>
      <c r="H12" s="255"/>
      <c r="I12" s="253"/>
      <c r="J12" s="253"/>
      <c r="K12" s="253"/>
      <c r="L12" s="253"/>
      <c r="M12" s="253"/>
      <c r="N12" s="253"/>
      <c r="O12" s="253"/>
      <c r="P12" s="253"/>
      <c r="Q12" s="253"/>
      <c r="R12" s="253"/>
      <c r="S12" s="253"/>
      <c r="T12" s="253"/>
      <c r="U12" s="253"/>
      <c r="V12" s="253"/>
    </row>
    <row r="13" spans="1:22" s="15" customFormat="1" ht="18.75" x14ac:dyDescent="0.2">
      <c r="A13" s="460" t="s">
        <v>4</v>
      </c>
      <c r="B13" s="460"/>
      <c r="C13" s="460"/>
      <c r="D13" s="256"/>
      <c r="E13" s="256"/>
      <c r="F13" s="256"/>
      <c r="G13" s="256"/>
      <c r="H13" s="256"/>
      <c r="I13" s="253"/>
      <c r="J13" s="253"/>
      <c r="K13" s="253"/>
      <c r="L13" s="253"/>
      <c r="M13" s="253"/>
      <c r="N13" s="253"/>
      <c r="O13" s="253"/>
      <c r="P13" s="253"/>
      <c r="Q13" s="253"/>
      <c r="R13" s="253"/>
      <c r="S13" s="253"/>
      <c r="T13" s="253"/>
      <c r="U13" s="253"/>
      <c r="V13" s="253"/>
    </row>
    <row r="14" spans="1:22" s="257" customFormat="1" ht="15.75" customHeight="1" x14ac:dyDescent="0.2">
      <c r="A14" s="245"/>
      <c r="B14" s="245"/>
      <c r="C14" s="275"/>
      <c r="D14" s="245"/>
      <c r="E14" s="245"/>
      <c r="F14" s="245"/>
      <c r="G14" s="245"/>
      <c r="H14" s="245"/>
      <c r="I14" s="245"/>
      <c r="J14" s="245"/>
      <c r="K14" s="245"/>
      <c r="L14" s="245"/>
      <c r="M14" s="245"/>
      <c r="N14" s="245"/>
      <c r="O14" s="245"/>
      <c r="P14" s="245"/>
      <c r="Q14" s="245"/>
      <c r="R14" s="245"/>
      <c r="S14" s="245"/>
      <c r="T14" s="245"/>
      <c r="U14" s="245"/>
      <c r="V14" s="245"/>
    </row>
    <row r="15" spans="1:22" s="258" customFormat="1" ht="54.75" customHeight="1" x14ac:dyDescent="0.2">
      <c r="A15" s="466" t="s">
        <v>535</v>
      </c>
      <c r="B15" s="466"/>
      <c r="C15" s="466"/>
      <c r="D15" s="255"/>
      <c r="E15" s="255"/>
      <c r="F15" s="255"/>
      <c r="G15" s="255"/>
      <c r="H15" s="255"/>
      <c r="I15" s="255"/>
      <c r="J15" s="255"/>
      <c r="K15" s="255"/>
      <c r="L15" s="255"/>
      <c r="M15" s="255"/>
      <c r="N15" s="255"/>
      <c r="O15" s="255"/>
      <c r="P15" s="255"/>
      <c r="Q15" s="255"/>
      <c r="R15" s="255"/>
      <c r="S15" s="255"/>
      <c r="T15" s="255"/>
      <c r="U15" s="255"/>
      <c r="V15" s="255"/>
    </row>
    <row r="16" spans="1:22" s="258" customFormat="1" ht="15" customHeight="1" x14ac:dyDescent="0.2">
      <c r="A16" s="460" t="s">
        <v>3</v>
      </c>
      <c r="B16" s="460"/>
      <c r="C16" s="460"/>
      <c r="D16" s="256"/>
      <c r="E16" s="256"/>
      <c r="F16" s="256"/>
      <c r="G16" s="256"/>
      <c r="H16" s="256"/>
      <c r="I16" s="256"/>
      <c r="J16" s="256"/>
      <c r="K16" s="256"/>
      <c r="L16" s="256"/>
      <c r="M16" s="256"/>
      <c r="N16" s="256"/>
      <c r="O16" s="256"/>
      <c r="P16" s="256"/>
      <c r="Q16" s="256"/>
      <c r="R16" s="256"/>
      <c r="S16" s="256"/>
      <c r="T16" s="256"/>
      <c r="U16" s="256"/>
      <c r="V16" s="256"/>
    </row>
    <row r="17" spans="1:22" s="258" customFormat="1" ht="15" customHeight="1" x14ac:dyDescent="0.2">
      <c r="A17" s="259"/>
      <c r="B17" s="259"/>
      <c r="C17" s="259"/>
      <c r="D17" s="259"/>
      <c r="E17" s="259"/>
      <c r="F17" s="259"/>
      <c r="G17" s="259"/>
      <c r="H17" s="259"/>
      <c r="I17" s="259"/>
      <c r="J17" s="259"/>
      <c r="K17" s="259"/>
      <c r="L17" s="259"/>
      <c r="M17" s="259"/>
      <c r="N17" s="259"/>
      <c r="O17" s="259"/>
      <c r="P17" s="259"/>
      <c r="Q17" s="259"/>
      <c r="R17" s="259"/>
      <c r="S17" s="259"/>
    </row>
    <row r="18" spans="1:22" s="258" customFormat="1" ht="15" customHeight="1" x14ac:dyDescent="0.2">
      <c r="A18" s="461" t="s">
        <v>443</v>
      </c>
      <c r="B18" s="462"/>
      <c r="C18" s="462"/>
      <c r="D18" s="260"/>
      <c r="E18" s="260"/>
      <c r="F18" s="260"/>
      <c r="G18" s="260"/>
      <c r="H18" s="260"/>
      <c r="I18" s="260"/>
      <c r="J18" s="260"/>
      <c r="K18" s="260"/>
      <c r="L18" s="260"/>
      <c r="M18" s="260"/>
      <c r="N18" s="260"/>
      <c r="O18" s="260"/>
      <c r="P18" s="260"/>
      <c r="Q18" s="260"/>
      <c r="R18" s="260"/>
      <c r="S18" s="260"/>
      <c r="T18" s="260"/>
      <c r="U18" s="260"/>
      <c r="V18" s="260"/>
    </row>
    <row r="19" spans="1:22" s="258" customFormat="1" ht="15" customHeight="1" x14ac:dyDescent="0.2">
      <c r="A19" s="256"/>
      <c r="B19" s="256"/>
      <c r="C19" s="256"/>
      <c r="D19" s="256"/>
      <c r="E19" s="256"/>
      <c r="F19" s="256"/>
      <c r="G19" s="256"/>
      <c r="H19" s="256"/>
      <c r="I19" s="259"/>
      <c r="J19" s="259"/>
      <c r="K19" s="259"/>
      <c r="L19" s="259"/>
      <c r="M19" s="259"/>
      <c r="N19" s="259"/>
      <c r="O19" s="259"/>
      <c r="P19" s="259"/>
      <c r="Q19" s="259"/>
      <c r="R19" s="259"/>
      <c r="S19" s="259"/>
    </row>
    <row r="20" spans="1:22" s="258" customFormat="1" ht="39.75" customHeight="1" x14ac:dyDescent="0.2">
      <c r="A20" s="30" t="s">
        <v>2</v>
      </c>
      <c r="B20" s="261" t="s">
        <v>63</v>
      </c>
      <c r="C20" s="262" t="s">
        <v>62</v>
      </c>
      <c r="D20" s="263"/>
      <c r="E20" s="263"/>
      <c r="F20" s="263"/>
      <c r="G20" s="263"/>
      <c r="H20" s="263"/>
      <c r="I20" s="245"/>
      <c r="J20" s="245"/>
      <c r="K20" s="245"/>
      <c r="L20" s="245"/>
      <c r="M20" s="245"/>
      <c r="N20" s="245"/>
      <c r="O20" s="245"/>
      <c r="P20" s="245"/>
      <c r="Q20" s="245"/>
      <c r="R20" s="245"/>
      <c r="S20" s="245"/>
      <c r="T20" s="264"/>
      <c r="U20" s="264"/>
      <c r="V20" s="264"/>
    </row>
    <row r="21" spans="1:22" s="258" customFormat="1" ht="16.5" customHeight="1" x14ac:dyDescent="0.2">
      <c r="A21" s="262">
        <v>1</v>
      </c>
      <c r="B21" s="261">
        <v>2</v>
      </c>
      <c r="C21" s="262">
        <v>3</v>
      </c>
      <c r="D21" s="263"/>
      <c r="E21" s="263"/>
      <c r="F21" s="263"/>
      <c r="G21" s="263"/>
      <c r="H21" s="263"/>
      <c r="I21" s="245"/>
      <c r="J21" s="245"/>
      <c r="K21" s="245"/>
      <c r="L21" s="245"/>
      <c r="M21" s="245"/>
      <c r="N21" s="245"/>
      <c r="O21" s="245"/>
      <c r="P21" s="245"/>
      <c r="Q21" s="245"/>
      <c r="R21" s="245"/>
      <c r="S21" s="245"/>
      <c r="T21" s="264"/>
      <c r="U21" s="264"/>
      <c r="V21" s="264"/>
    </row>
    <row r="22" spans="1:22" s="258" customFormat="1" ht="41.45" customHeight="1" x14ac:dyDescent="0.2">
      <c r="A22" s="286" t="s">
        <v>61</v>
      </c>
      <c r="B22" s="285" t="s">
        <v>296</v>
      </c>
      <c r="C22" s="294" t="s">
        <v>498</v>
      </c>
      <c r="D22" s="263"/>
      <c r="E22" s="263"/>
      <c r="F22" s="263"/>
      <c r="G22" s="263"/>
      <c r="H22" s="263"/>
      <c r="I22" s="245"/>
      <c r="J22" s="245"/>
      <c r="K22" s="245"/>
      <c r="L22" s="245"/>
      <c r="M22" s="245"/>
      <c r="N22" s="245"/>
      <c r="O22" s="245"/>
      <c r="P22" s="245"/>
      <c r="Q22" s="245"/>
      <c r="R22" s="245"/>
      <c r="S22" s="245"/>
      <c r="T22" s="264"/>
      <c r="U22" s="264"/>
      <c r="V22" s="264"/>
    </row>
    <row r="23" spans="1:22" s="258" customFormat="1" ht="78.75" x14ac:dyDescent="0.2">
      <c r="A23" s="286" t="s">
        <v>60</v>
      </c>
      <c r="B23" s="288" t="s">
        <v>499</v>
      </c>
      <c r="C23" s="294" t="s">
        <v>537</v>
      </c>
      <c r="D23" s="263"/>
      <c r="E23" s="263"/>
      <c r="F23" s="263"/>
      <c r="G23" s="263"/>
      <c r="H23" s="263"/>
      <c r="I23" s="245"/>
      <c r="J23" s="245"/>
      <c r="K23" s="245"/>
      <c r="L23" s="245"/>
      <c r="M23" s="245"/>
      <c r="N23" s="245"/>
      <c r="O23" s="245"/>
      <c r="P23" s="245"/>
      <c r="Q23" s="245"/>
      <c r="R23" s="245"/>
      <c r="S23" s="245"/>
      <c r="T23" s="264"/>
      <c r="U23" s="264"/>
      <c r="V23" s="264"/>
    </row>
    <row r="24" spans="1:22" s="258" customFormat="1" ht="22.5" customHeight="1" x14ac:dyDescent="0.2">
      <c r="A24" s="456"/>
      <c r="B24" s="457"/>
      <c r="C24" s="458"/>
      <c r="D24" s="263"/>
      <c r="E24" s="263"/>
      <c r="F24" s="263"/>
      <c r="G24" s="263"/>
      <c r="H24" s="263"/>
      <c r="I24" s="245"/>
      <c r="J24" s="245"/>
      <c r="K24" s="245"/>
      <c r="L24" s="245"/>
      <c r="M24" s="245"/>
      <c r="N24" s="245"/>
      <c r="O24" s="245"/>
      <c r="P24" s="245"/>
      <c r="Q24" s="245"/>
      <c r="R24" s="245"/>
      <c r="S24" s="245"/>
      <c r="T24" s="264"/>
      <c r="U24" s="264"/>
      <c r="V24" s="264"/>
    </row>
    <row r="25" spans="1:22" s="258" customFormat="1" ht="58.5" customHeight="1" x14ac:dyDescent="0.2">
      <c r="A25" s="23" t="s">
        <v>59</v>
      </c>
      <c r="B25" s="99" t="s">
        <v>392</v>
      </c>
      <c r="C25" s="276" t="s">
        <v>502</v>
      </c>
      <c r="D25" s="263"/>
      <c r="E25" s="263"/>
      <c r="F25" s="263"/>
      <c r="G25" s="263"/>
      <c r="H25" s="245"/>
      <c r="I25" s="245"/>
      <c r="J25" s="245"/>
      <c r="K25" s="245"/>
      <c r="L25" s="245"/>
      <c r="M25" s="245"/>
      <c r="N25" s="245"/>
      <c r="O25" s="245"/>
      <c r="P25" s="245"/>
      <c r="Q25" s="245"/>
      <c r="R25" s="245"/>
      <c r="S25" s="264"/>
      <c r="T25" s="264"/>
      <c r="U25" s="264"/>
      <c r="V25" s="264"/>
    </row>
    <row r="26" spans="1:22" s="258" customFormat="1" ht="42.75" customHeight="1" x14ac:dyDescent="0.2">
      <c r="A26" s="23" t="s">
        <v>58</v>
      </c>
      <c r="B26" s="99" t="s">
        <v>71</v>
      </c>
      <c r="C26" s="30" t="s">
        <v>459</v>
      </c>
      <c r="D26" s="263"/>
      <c r="E26" s="263"/>
      <c r="F26" s="263"/>
      <c r="G26" s="263"/>
      <c r="H26" s="245"/>
      <c r="I26" s="245"/>
      <c r="J26" s="245"/>
      <c r="K26" s="245"/>
      <c r="L26" s="245"/>
      <c r="M26" s="245"/>
      <c r="N26" s="245"/>
      <c r="O26" s="245"/>
      <c r="P26" s="245"/>
      <c r="Q26" s="245"/>
      <c r="R26" s="245"/>
      <c r="S26" s="264"/>
      <c r="T26" s="264"/>
      <c r="U26" s="264"/>
      <c r="V26" s="264"/>
    </row>
    <row r="27" spans="1:22" s="258" customFormat="1" ht="51.75" customHeight="1" x14ac:dyDescent="0.2">
      <c r="A27" s="23" t="s">
        <v>56</v>
      </c>
      <c r="B27" s="99" t="s">
        <v>70</v>
      </c>
      <c r="C27" s="282" t="s">
        <v>538</v>
      </c>
      <c r="D27" s="263"/>
      <c r="E27" s="263"/>
      <c r="F27" s="263"/>
      <c r="G27" s="263"/>
      <c r="H27" s="245"/>
      <c r="I27" s="245"/>
      <c r="J27" s="245"/>
      <c r="K27" s="245"/>
      <c r="L27" s="245"/>
      <c r="M27" s="245"/>
      <c r="N27" s="245"/>
      <c r="O27" s="245"/>
      <c r="P27" s="245"/>
      <c r="Q27" s="245"/>
      <c r="R27" s="245"/>
      <c r="S27" s="264"/>
      <c r="T27" s="264"/>
      <c r="U27" s="264"/>
      <c r="V27" s="264"/>
    </row>
    <row r="28" spans="1:22" s="258" customFormat="1" ht="42.75" customHeight="1" x14ac:dyDescent="0.2">
      <c r="A28" s="23" t="s">
        <v>55</v>
      </c>
      <c r="B28" s="99" t="s">
        <v>393</v>
      </c>
      <c r="C28" s="30" t="s">
        <v>460</v>
      </c>
      <c r="D28" s="263"/>
      <c r="E28" s="263"/>
      <c r="F28" s="263"/>
      <c r="G28" s="263"/>
      <c r="H28" s="245"/>
      <c r="I28" s="245"/>
      <c r="J28" s="245"/>
      <c r="K28" s="245"/>
      <c r="L28" s="245"/>
      <c r="M28" s="245"/>
      <c r="N28" s="245"/>
      <c r="O28" s="245"/>
      <c r="P28" s="245"/>
      <c r="Q28" s="245"/>
      <c r="R28" s="245"/>
      <c r="S28" s="264"/>
      <c r="T28" s="264"/>
      <c r="U28" s="264"/>
      <c r="V28" s="264"/>
    </row>
    <row r="29" spans="1:22" s="258" customFormat="1" ht="51.75" customHeight="1" x14ac:dyDescent="0.2">
      <c r="A29" s="23" t="s">
        <v>53</v>
      </c>
      <c r="B29" s="99" t="s">
        <v>394</v>
      </c>
      <c r="C29" s="30" t="s">
        <v>460</v>
      </c>
      <c r="D29" s="263"/>
      <c r="E29" s="263"/>
      <c r="F29" s="263"/>
      <c r="G29" s="263"/>
      <c r="H29" s="245"/>
      <c r="I29" s="245"/>
      <c r="J29" s="245"/>
      <c r="K29" s="245"/>
      <c r="L29" s="245"/>
      <c r="M29" s="245"/>
      <c r="N29" s="245"/>
      <c r="O29" s="245"/>
      <c r="P29" s="245"/>
      <c r="Q29" s="245"/>
      <c r="R29" s="245"/>
      <c r="S29" s="264"/>
      <c r="T29" s="264"/>
      <c r="U29" s="264"/>
      <c r="V29" s="264"/>
    </row>
    <row r="30" spans="1:22" s="258" customFormat="1" ht="51.75" customHeight="1" x14ac:dyDescent="0.2">
      <c r="A30" s="23" t="s">
        <v>51</v>
      </c>
      <c r="B30" s="99" t="s">
        <v>395</v>
      </c>
      <c r="C30" s="30" t="s">
        <v>460</v>
      </c>
      <c r="D30" s="263"/>
      <c r="E30" s="263"/>
      <c r="F30" s="263"/>
      <c r="G30" s="263"/>
      <c r="H30" s="245"/>
      <c r="I30" s="245"/>
      <c r="J30" s="245"/>
      <c r="K30" s="245"/>
      <c r="L30" s="245"/>
      <c r="M30" s="245"/>
      <c r="N30" s="245"/>
      <c r="O30" s="245"/>
      <c r="P30" s="245"/>
      <c r="Q30" s="245"/>
      <c r="R30" s="245"/>
      <c r="S30" s="264"/>
      <c r="T30" s="264"/>
      <c r="U30" s="264"/>
      <c r="V30" s="264"/>
    </row>
    <row r="31" spans="1:22" s="258" customFormat="1" ht="51.75" customHeight="1" x14ac:dyDescent="0.2">
      <c r="A31" s="23" t="s">
        <v>69</v>
      </c>
      <c r="B31" s="99" t="s">
        <v>396</v>
      </c>
      <c r="C31" s="30" t="s">
        <v>460</v>
      </c>
      <c r="D31" s="263"/>
      <c r="E31" s="263"/>
      <c r="F31" s="263"/>
      <c r="G31" s="263"/>
      <c r="H31" s="245"/>
      <c r="I31" s="245"/>
      <c r="J31" s="245"/>
      <c r="K31" s="245"/>
      <c r="L31" s="245"/>
      <c r="M31" s="245"/>
      <c r="N31" s="245"/>
      <c r="O31" s="245"/>
      <c r="P31" s="245"/>
      <c r="Q31" s="245"/>
      <c r="R31" s="245"/>
      <c r="S31" s="264"/>
      <c r="T31" s="264"/>
      <c r="U31" s="264"/>
      <c r="V31" s="264"/>
    </row>
    <row r="32" spans="1:22" s="258" customFormat="1" ht="51.75" customHeight="1" x14ac:dyDescent="0.2">
      <c r="A32" s="23" t="s">
        <v>67</v>
      </c>
      <c r="B32" s="99" t="s">
        <v>397</v>
      </c>
      <c r="C32" s="30" t="s">
        <v>460</v>
      </c>
      <c r="D32" s="263"/>
      <c r="E32" s="263"/>
      <c r="F32" s="263"/>
      <c r="G32" s="263"/>
      <c r="H32" s="245"/>
      <c r="I32" s="245"/>
      <c r="J32" s="245"/>
      <c r="K32" s="245"/>
      <c r="L32" s="245"/>
      <c r="M32" s="245"/>
      <c r="N32" s="245"/>
      <c r="O32" s="245"/>
      <c r="P32" s="245"/>
      <c r="Q32" s="245"/>
      <c r="R32" s="245"/>
      <c r="S32" s="264"/>
      <c r="T32" s="264"/>
      <c r="U32" s="264"/>
      <c r="V32" s="264"/>
    </row>
    <row r="33" spans="1:22" s="258" customFormat="1" ht="101.25" customHeight="1" x14ac:dyDescent="0.2">
      <c r="A33" s="23" t="s">
        <v>66</v>
      </c>
      <c r="B33" s="99" t="s">
        <v>398</v>
      </c>
      <c r="C33" s="277" t="s">
        <v>509</v>
      </c>
      <c r="D33" s="263"/>
      <c r="E33" s="263"/>
      <c r="F33" s="263"/>
      <c r="G33" s="263"/>
      <c r="H33" s="245"/>
      <c r="I33" s="245"/>
      <c r="J33" s="245"/>
      <c r="K33" s="245"/>
      <c r="L33" s="245"/>
      <c r="M33" s="245"/>
      <c r="N33" s="245"/>
      <c r="O33" s="245"/>
      <c r="P33" s="245"/>
      <c r="Q33" s="245"/>
      <c r="R33" s="245"/>
      <c r="S33" s="264"/>
      <c r="T33" s="264"/>
      <c r="U33" s="264"/>
      <c r="V33" s="264"/>
    </row>
    <row r="34" spans="1:22" ht="111" customHeight="1" x14ac:dyDescent="0.25">
      <c r="A34" s="23" t="s">
        <v>412</v>
      </c>
      <c r="B34" s="99" t="s">
        <v>399</v>
      </c>
      <c r="C34" s="276" t="s">
        <v>509</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23" t="s">
        <v>402</v>
      </c>
      <c r="B35" s="99" t="s">
        <v>68</v>
      </c>
      <c r="C35" s="30" t="s">
        <v>500</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23" t="s">
        <v>413</v>
      </c>
      <c r="B36" s="99" t="s">
        <v>400</v>
      </c>
      <c r="C36" s="30" t="s">
        <v>460</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23" t="s">
        <v>403</v>
      </c>
      <c r="B37" s="99" t="s">
        <v>401</v>
      </c>
      <c r="C37" s="30" t="s">
        <v>599</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23" t="s">
        <v>414</v>
      </c>
      <c r="B38" s="99" t="s">
        <v>226</v>
      </c>
      <c r="C38" s="30" t="s">
        <v>500</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56"/>
      <c r="B39" s="457"/>
      <c r="C39" s="458"/>
      <c r="D39" s="265"/>
      <c r="E39" s="265"/>
      <c r="F39" s="265"/>
      <c r="G39" s="265"/>
      <c r="H39" s="265"/>
      <c r="I39" s="265"/>
      <c r="J39" s="265"/>
      <c r="K39" s="265"/>
      <c r="L39" s="265"/>
      <c r="M39" s="265"/>
      <c r="N39" s="265"/>
      <c r="O39" s="265"/>
      <c r="P39" s="265"/>
      <c r="Q39" s="265"/>
      <c r="R39" s="265"/>
      <c r="S39" s="265"/>
      <c r="T39" s="265"/>
      <c r="U39" s="265"/>
      <c r="V39" s="265"/>
    </row>
    <row r="40" spans="1:22" ht="63" x14ac:dyDescent="0.25">
      <c r="A40" s="23" t="s">
        <v>404</v>
      </c>
      <c r="B40" s="99" t="s">
        <v>456</v>
      </c>
      <c r="C40" s="435" t="s">
        <v>645</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23" t="s">
        <v>415</v>
      </c>
      <c r="B41" s="99" t="s">
        <v>438</v>
      </c>
      <c r="C41" s="30" t="s">
        <v>501</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23" t="s">
        <v>405</v>
      </c>
      <c r="B42" s="99" t="s">
        <v>453</v>
      </c>
      <c r="C42" s="30" t="s">
        <v>501</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23" t="s">
        <v>418</v>
      </c>
      <c r="B43" s="99" t="s">
        <v>419</v>
      </c>
      <c r="C43" s="267" t="s">
        <v>502</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23" t="s">
        <v>406</v>
      </c>
      <c r="B44" s="99" t="s">
        <v>444</v>
      </c>
      <c r="C44" s="266" t="s">
        <v>502</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23" t="s">
        <v>439</v>
      </c>
      <c r="B45" s="99" t="s">
        <v>445</v>
      </c>
      <c r="C45" s="267" t="s">
        <v>502</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23" t="s">
        <v>407</v>
      </c>
      <c r="B46" s="99" t="s">
        <v>446</v>
      </c>
      <c r="C46" s="277" t="s">
        <v>578</v>
      </c>
      <c r="D46" s="265"/>
      <c r="E46" s="274"/>
      <c r="F46" s="265"/>
      <c r="G46" s="265"/>
      <c r="H46" s="265"/>
      <c r="I46" s="265"/>
      <c r="J46" s="265"/>
      <c r="K46" s="265"/>
      <c r="L46" s="265"/>
      <c r="M46" s="265"/>
      <c r="N46" s="265"/>
      <c r="O46" s="265"/>
      <c r="P46" s="265"/>
      <c r="Q46" s="265"/>
      <c r="R46" s="265"/>
      <c r="S46" s="265"/>
      <c r="T46" s="265"/>
      <c r="U46" s="265"/>
      <c r="V46" s="265"/>
    </row>
    <row r="47" spans="1:22" ht="18.75" customHeight="1" x14ac:dyDescent="0.25">
      <c r="A47" s="456"/>
      <c r="B47" s="457"/>
      <c r="C47" s="458"/>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23" t="s">
        <v>440</v>
      </c>
      <c r="B48" s="99" t="s">
        <v>454</v>
      </c>
      <c r="C48" s="295" t="str">
        <f>CONCATENATE(ROUND('6.2. Паспорт фин осв ввод'!AC24,2)," млн рублей")</f>
        <v>0,96 млн рублей</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23" t="s">
        <v>408</v>
      </c>
      <c r="B49" s="99" t="s">
        <v>455</v>
      </c>
      <c r="C49" s="295" t="str">
        <f>CONCATENATE(ROUND('6.2. Паспорт фин осв ввод'!AC30,2)," млн рублей")</f>
        <v>9,48 млн рублей</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row r="309" spans="1:22" x14ac:dyDescent="0.25">
      <c r="A309" s="265"/>
      <c r="B309" s="265"/>
      <c r="C309" s="265"/>
      <c r="D309" s="265"/>
      <c r="E309" s="265"/>
      <c r="F309" s="265"/>
      <c r="G309" s="265"/>
      <c r="H309" s="265"/>
      <c r="I309" s="265"/>
      <c r="J309" s="265"/>
      <c r="K309" s="265"/>
      <c r="L309" s="265"/>
      <c r="M309" s="265"/>
      <c r="N309" s="265"/>
      <c r="O309" s="265"/>
      <c r="P309" s="265"/>
      <c r="Q309" s="265"/>
      <c r="R309" s="265"/>
      <c r="S309" s="265"/>
      <c r="T309" s="265"/>
      <c r="U309" s="265"/>
      <c r="V309" s="265"/>
    </row>
    <row r="310" spans="1:22" x14ac:dyDescent="0.25">
      <c r="A310" s="265"/>
      <c r="B310" s="265"/>
      <c r="C310" s="265"/>
      <c r="D310" s="265"/>
      <c r="E310" s="265"/>
      <c r="F310" s="265"/>
      <c r="G310" s="265"/>
      <c r="H310" s="265"/>
      <c r="I310" s="265"/>
      <c r="J310" s="265"/>
      <c r="K310" s="265"/>
      <c r="L310" s="265"/>
      <c r="M310" s="265"/>
      <c r="N310" s="265"/>
      <c r="O310" s="265"/>
      <c r="P310" s="265"/>
      <c r="Q310" s="265"/>
      <c r="R310" s="265"/>
      <c r="S310" s="265"/>
      <c r="T310" s="265"/>
      <c r="U310" s="265"/>
      <c r="V310" s="265"/>
    </row>
    <row r="311" spans="1:22" x14ac:dyDescent="0.25">
      <c r="A311" s="265"/>
      <c r="B311" s="265"/>
      <c r="C311" s="265"/>
      <c r="D311" s="265"/>
      <c r="E311" s="265"/>
      <c r="F311" s="265"/>
      <c r="G311" s="265"/>
      <c r="H311" s="265"/>
      <c r="I311" s="265"/>
      <c r="J311" s="265"/>
      <c r="K311" s="265"/>
      <c r="L311" s="265"/>
      <c r="M311" s="265"/>
      <c r="N311" s="265"/>
      <c r="O311" s="265"/>
      <c r="P311" s="265"/>
      <c r="Q311" s="265"/>
      <c r="R311" s="265"/>
      <c r="S311" s="265"/>
      <c r="T311" s="265"/>
      <c r="U311" s="265"/>
      <c r="V311" s="265"/>
    </row>
    <row r="312" spans="1:22" x14ac:dyDescent="0.25">
      <c r="A312" s="265"/>
      <c r="B312" s="265"/>
      <c r="C312" s="265"/>
      <c r="D312" s="265"/>
      <c r="E312" s="265"/>
      <c r="F312" s="265"/>
      <c r="G312" s="265"/>
      <c r="H312" s="265"/>
      <c r="I312" s="265"/>
      <c r="J312" s="265"/>
      <c r="K312" s="265"/>
      <c r="L312" s="265"/>
      <c r="M312" s="265"/>
      <c r="N312" s="265"/>
      <c r="O312" s="265"/>
      <c r="P312" s="265"/>
      <c r="Q312" s="265"/>
      <c r="R312" s="265"/>
      <c r="S312" s="265"/>
      <c r="T312" s="265"/>
      <c r="U312" s="265"/>
      <c r="V312" s="265"/>
    </row>
    <row r="313" spans="1:22" x14ac:dyDescent="0.25">
      <c r="A313" s="265"/>
      <c r="B313" s="265"/>
      <c r="C313" s="265"/>
      <c r="D313" s="265"/>
      <c r="E313" s="265"/>
      <c r="F313" s="265"/>
      <c r="G313" s="265"/>
      <c r="H313" s="265"/>
      <c r="I313" s="265"/>
      <c r="J313" s="265"/>
      <c r="K313" s="265"/>
      <c r="L313" s="265"/>
      <c r="M313" s="265"/>
      <c r="N313" s="265"/>
      <c r="O313" s="265"/>
      <c r="P313" s="265"/>
      <c r="Q313" s="265"/>
      <c r="R313" s="265"/>
      <c r="S313" s="265"/>
      <c r="T313" s="265"/>
      <c r="U313" s="265"/>
      <c r="V313" s="265"/>
    </row>
    <row r="314" spans="1:22" x14ac:dyDescent="0.25">
      <c r="A314" s="265"/>
      <c r="B314" s="265"/>
      <c r="C314" s="265"/>
      <c r="D314" s="265"/>
      <c r="E314" s="265"/>
      <c r="F314" s="265"/>
      <c r="G314" s="265"/>
      <c r="H314" s="265"/>
      <c r="I314" s="265"/>
      <c r="J314" s="265"/>
      <c r="K314" s="265"/>
      <c r="L314" s="265"/>
      <c r="M314" s="265"/>
      <c r="N314" s="265"/>
      <c r="O314" s="265"/>
      <c r="P314" s="265"/>
      <c r="Q314" s="265"/>
      <c r="R314" s="265"/>
      <c r="S314" s="265"/>
      <c r="T314" s="265"/>
      <c r="U314" s="265"/>
      <c r="V314" s="265"/>
    </row>
    <row r="315" spans="1:22" x14ac:dyDescent="0.25">
      <c r="A315" s="265"/>
      <c r="B315" s="265"/>
      <c r="C315" s="265"/>
      <c r="D315" s="265"/>
      <c r="E315" s="265"/>
      <c r="F315" s="265"/>
      <c r="G315" s="265"/>
      <c r="H315" s="265"/>
      <c r="I315" s="265"/>
      <c r="J315" s="265"/>
      <c r="K315" s="265"/>
      <c r="L315" s="265"/>
      <c r="M315" s="265"/>
      <c r="N315" s="265"/>
      <c r="O315" s="265"/>
      <c r="P315" s="265"/>
      <c r="Q315" s="265"/>
      <c r="R315" s="265"/>
      <c r="S315" s="265"/>
      <c r="T315" s="265"/>
      <c r="U315" s="265"/>
      <c r="V315" s="265"/>
    </row>
    <row r="316" spans="1:22" x14ac:dyDescent="0.25">
      <c r="A316" s="265"/>
      <c r="B316" s="265"/>
      <c r="C316" s="265"/>
      <c r="D316" s="265"/>
      <c r="E316" s="265"/>
      <c r="F316" s="265"/>
      <c r="G316" s="265"/>
      <c r="H316" s="265"/>
      <c r="I316" s="265"/>
      <c r="J316" s="265"/>
      <c r="K316" s="265"/>
      <c r="L316" s="265"/>
      <c r="M316" s="265"/>
      <c r="N316" s="265"/>
      <c r="O316" s="265"/>
      <c r="P316" s="265"/>
      <c r="Q316" s="265"/>
      <c r="R316" s="265"/>
      <c r="S316" s="265"/>
      <c r="T316" s="265"/>
      <c r="U316" s="265"/>
      <c r="V316" s="265"/>
    </row>
    <row r="317" spans="1:22" x14ac:dyDescent="0.25">
      <c r="A317" s="265"/>
      <c r="B317" s="265"/>
      <c r="C317" s="265"/>
      <c r="D317" s="265"/>
      <c r="E317" s="265"/>
      <c r="F317" s="265"/>
      <c r="G317" s="265"/>
      <c r="H317" s="265"/>
      <c r="I317" s="265"/>
      <c r="J317" s="265"/>
      <c r="K317" s="265"/>
      <c r="L317" s="265"/>
      <c r="M317" s="265"/>
      <c r="N317" s="265"/>
      <c r="O317" s="265"/>
      <c r="P317" s="265"/>
      <c r="Q317" s="265"/>
      <c r="R317" s="265"/>
      <c r="S317" s="265"/>
      <c r="T317" s="265"/>
      <c r="U317" s="265"/>
      <c r="V317" s="265"/>
    </row>
    <row r="318" spans="1:22" x14ac:dyDescent="0.25">
      <c r="A318" s="265"/>
      <c r="B318" s="265"/>
      <c r="C318" s="265"/>
      <c r="D318" s="265"/>
      <c r="E318" s="265"/>
      <c r="F318" s="265"/>
      <c r="G318" s="265"/>
      <c r="H318" s="265"/>
      <c r="I318" s="265"/>
      <c r="J318" s="265"/>
      <c r="K318" s="265"/>
      <c r="L318" s="265"/>
      <c r="M318" s="265"/>
      <c r="N318" s="265"/>
      <c r="O318" s="265"/>
      <c r="P318" s="265"/>
      <c r="Q318" s="265"/>
      <c r="R318" s="265"/>
      <c r="S318" s="265"/>
      <c r="T318" s="265"/>
      <c r="U318" s="265"/>
      <c r="V318" s="265"/>
    </row>
    <row r="319" spans="1:22" x14ac:dyDescent="0.25">
      <c r="A319" s="265"/>
      <c r="B319" s="265"/>
      <c r="C319" s="265"/>
      <c r="D319" s="265"/>
      <c r="E319" s="265"/>
      <c r="F319" s="265"/>
      <c r="G319" s="265"/>
      <c r="H319" s="265"/>
      <c r="I319" s="265"/>
      <c r="J319" s="265"/>
      <c r="K319" s="265"/>
      <c r="L319" s="265"/>
      <c r="M319" s="265"/>
      <c r="N319" s="265"/>
      <c r="O319" s="265"/>
      <c r="P319" s="265"/>
      <c r="Q319" s="265"/>
      <c r="R319" s="265"/>
      <c r="S319" s="265"/>
      <c r="T319" s="265"/>
      <c r="U319" s="265"/>
      <c r="V319" s="265"/>
    </row>
    <row r="320" spans="1:22" x14ac:dyDescent="0.25">
      <c r="A320" s="265"/>
      <c r="B320" s="265"/>
      <c r="C320" s="265"/>
      <c r="D320" s="265"/>
      <c r="E320" s="265"/>
      <c r="F320" s="265"/>
      <c r="G320" s="265"/>
      <c r="H320" s="265"/>
      <c r="I320" s="265"/>
      <c r="J320" s="265"/>
      <c r="K320" s="265"/>
      <c r="L320" s="265"/>
      <c r="M320" s="265"/>
      <c r="N320" s="265"/>
      <c r="O320" s="265"/>
      <c r="P320" s="265"/>
      <c r="Q320" s="265"/>
      <c r="R320" s="265"/>
      <c r="S320" s="265"/>
      <c r="T320" s="265"/>
      <c r="U320" s="265"/>
      <c r="V320" s="265"/>
    </row>
    <row r="321" spans="1:22" x14ac:dyDescent="0.25">
      <c r="A321" s="265"/>
      <c r="B321" s="265"/>
      <c r="C321" s="265"/>
      <c r="D321" s="265"/>
      <c r="E321" s="265"/>
      <c r="F321" s="265"/>
      <c r="G321" s="265"/>
      <c r="H321" s="265"/>
      <c r="I321" s="265"/>
      <c r="J321" s="265"/>
      <c r="K321" s="265"/>
      <c r="L321" s="265"/>
      <c r="M321" s="265"/>
      <c r="N321" s="265"/>
      <c r="O321" s="265"/>
      <c r="P321" s="265"/>
      <c r="Q321" s="265"/>
      <c r="R321" s="265"/>
      <c r="S321" s="265"/>
      <c r="T321" s="265"/>
      <c r="U321" s="265"/>
      <c r="V321" s="265"/>
    </row>
    <row r="322" spans="1:22" x14ac:dyDescent="0.25">
      <c r="A322" s="265"/>
      <c r="B322" s="265"/>
      <c r="C322" s="265"/>
      <c r="D322" s="265"/>
      <c r="E322" s="265"/>
      <c r="F322" s="265"/>
      <c r="G322" s="265"/>
      <c r="H322" s="265"/>
      <c r="I322" s="265"/>
      <c r="J322" s="265"/>
      <c r="K322" s="265"/>
      <c r="L322" s="265"/>
      <c r="M322" s="265"/>
      <c r="N322" s="265"/>
      <c r="O322" s="265"/>
      <c r="P322" s="265"/>
      <c r="Q322" s="265"/>
      <c r="R322" s="265"/>
      <c r="S322" s="265"/>
      <c r="T322" s="265"/>
      <c r="U322" s="265"/>
      <c r="V322" s="265"/>
    </row>
    <row r="323" spans="1:22" x14ac:dyDescent="0.25">
      <c r="A323" s="265"/>
      <c r="B323" s="265"/>
      <c r="C323" s="265"/>
      <c r="D323" s="265"/>
      <c r="E323" s="265"/>
      <c r="F323" s="265"/>
      <c r="G323" s="265"/>
      <c r="H323" s="265"/>
      <c r="I323" s="265"/>
      <c r="J323" s="265"/>
      <c r="K323" s="265"/>
      <c r="L323" s="265"/>
      <c r="M323" s="265"/>
      <c r="N323" s="265"/>
      <c r="O323" s="265"/>
      <c r="P323" s="265"/>
      <c r="Q323" s="265"/>
      <c r="R323" s="265"/>
      <c r="S323" s="265"/>
      <c r="T323" s="265"/>
      <c r="U323" s="265"/>
      <c r="V323" s="265"/>
    </row>
    <row r="324" spans="1:22" x14ac:dyDescent="0.25">
      <c r="A324" s="265"/>
      <c r="B324" s="265"/>
      <c r="C324" s="265"/>
      <c r="D324" s="265"/>
      <c r="E324" s="265"/>
      <c r="F324" s="265"/>
      <c r="G324" s="265"/>
      <c r="H324" s="265"/>
      <c r="I324" s="265"/>
      <c r="J324" s="265"/>
      <c r="K324" s="265"/>
      <c r="L324" s="265"/>
      <c r="M324" s="265"/>
      <c r="N324" s="265"/>
      <c r="O324" s="265"/>
      <c r="P324" s="265"/>
      <c r="Q324" s="265"/>
      <c r="R324" s="265"/>
      <c r="S324" s="265"/>
      <c r="T324" s="265"/>
      <c r="U324" s="265"/>
      <c r="V324" s="265"/>
    </row>
    <row r="325" spans="1:22" x14ac:dyDescent="0.25">
      <c r="A325" s="265"/>
      <c r="B325" s="265"/>
      <c r="C325" s="265"/>
      <c r="D325" s="265"/>
      <c r="E325" s="265"/>
      <c r="F325" s="265"/>
      <c r="G325" s="265"/>
      <c r="H325" s="265"/>
      <c r="I325" s="265"/>
      <c r="J325" s="265"/>
      <c r="K325" s="265"/>
      <c r="L325" s="265"/>
      <c r="M325" s="265"/>
      <c r="N325" s="265"/>
      <c r="O325" s="265"/>
      <c r="P325" s="265"/>
      <c r="Q325" s="265"/>
      <c r="R325" s="265"/>
      <c r="S325" s="265"/>
      <c r="T325" s="265"/>
      <c r="U325" s="265"/>
      <c r="V325" s="265"/>
    </row>
    <row r="326" spans="1:22" x14ac:dyDescent="0.25">
      <c r="A326" s="265"/>
      <c r="B326" s="265"/>
      <c r="C326" s="265"/>
      <c r="D326" s="265"/>
      <c r="E326" s="265"/>
      <c r="F326" s="265"/>
      <c r="G326" s="265"/>
      <c r="H326" s="265"/>
      <c r="I326" s="265"/>
      <c r="J326" s="265"/>
      <c r="K326" s="265"/>
      <c r="L326" s="265"/>
      <c r="M326" s="265"/>
      <c r="N326" s="265"/>
      <c r="O326" s="265"/>
      <c r="P326" s="265"/>
      <c r="Q326" s="265"/>
      <c r="R326" s="265"/>
      <c r="S326" s="265"/>
      <c r="T326" s="265"/>
      <c r="U326" s="265"/>
      <c r="V326" s="265"/>
    </row>
    <row r="327" spans="1:22" x14ac:dyDescent="0.25">
      <c r="A327" s="265"/>
      <c r="B327" s="265"/>
      <c r="C327" s="265"/>
      <c r="D327" s="265"/>
      <c r="E327" s="265"/>
      <c r="F327" s="265"/>
      <c r="G327" s="265"/>
      <c r="H327" s="265"/>
      <c r="I327" s="265"/>
      <c r="J327" s="265"/>
      <c r="K327" s="265"/>
      <c r="L327" s="265"/>
      <c r="M327" s="265"/>
      <c r="N327" s="265"/>
      <c r="O327" s="265"/>
      <c r="P327" s="265"/>
      <c r="Q327" s="265"/>
      <c r="R327" s="265"/>
      <c r="S327" s="265"/>
      <c r="T327" s="265"/>
      <c r="U327" s="265"/>
      <c r="V327" s="265"/>
    </row>
    <row r="328" spans="1:22" x14ac:dyDescent="0.25">
      <c r="A328" s="265"/>
      <c r="B328" s="265"/>
      <c r="C328" s="265"/>
      <c r="D328" s="265"/>
      <c r="E328" s="265"/>
      <c r="F328" s="265"/>
      <c r="G328" s="265"/>
      <c r="H328" s="265"/>
      <c r="I328" s="265"/>
      <c r="J328" s="265"/>
      <c r="K328" s="265"/>
      <c r="L328" s="265"/>
      <c r="M328" s="265"/>
      <c r="N328" s="265"/>
      <c r="O328" s="265"/>
      <c r="P328" s="265"/>
      <c r="Q328" s="265"/>
      <c r="R328" s="265"/>
      <c r="S328" s="265"/>
      <c r="T328" s="265"/>
      <c r="U328" s="265"/>
      <c r="V328" s="265"/>
    </row>
    <row r="329" spans="1:22" x14ac:dyDescent="0.25">
      <c r="A329" s="265"/>
      <c r="B329" s="265"/>
      <c r="C329" s="265"/>
      <c r="D329" s="265"/>
      <c r="E329" s="265"/>
      <c r="F329" s="265"/>
      <c r="G329" s="265"/>
      <c r="H329" s="265"/>
      <c r="I329" s="265"/>
      <c r="J329" s="265"/>
      <c r="K329" s="265"/>
      <c r="L329" s="265"/>
      <c r="M329" s="265"/>
      <c r="N329" s="265"/>
      <c r="O329" s="265"/>
      <c r="P329" s="265"/>
      <c r="Q329" s="265"/>
      <c r="R329" s="265"/>
      <c r="S329" s="265"/>
      <c r="T329" s="265"/>
      <c r="U329" s="265"/>
      <c r="V329" s="265"/>
    </row>
    <row r="330" spans="1:22" x14ac:dyDescent="0.25">
      <c r="A330" s="265"/>
      <c r="B330" s="265"/>
      <c r="C330" s="265"/>
      <c r="D330" s="265"/>
      <c r="E330" s="265"/>
      <c r="F330" s="265"/>
      <c r="G330" s="265"/>
      <c r="H330" s="265"/>
      <c r="I330" s="265"/>
      <c r="J330" s="265"/>
      <c r="K330" s="265"/>
      <c r="L330" s="265"/>
      <c r="M330" s="265"/>
      <c r="N330" s="265"/>
      <c r="O330" s="265"/>
      <c r="P330" s="265"/>
      <c r="Q330" s="265"/>
      <c r="R330" s="265"/>
      <c r="S330" s="265"/>
      <c r="T330" s="265"/>
      <c r="U330" s="265"/>
      <c r="V330" s="265"/>
    </row>
    <row r="331" spans="1:22" x14ac:dyDescent="0.25">
      <c r="A331" s="265"/>
      <c r="B331" s="265"/>
      <c r="C331" s="265"/>
      <c r="D331" s="265"/>
      <c r="E331" s="265"/>
      <c r="F331" s="265"/>
      <c r="G331" s="265"/>
      <c r="H331" s="265"/>
      <c r="I331" s="265"/>
      <c r="J331" s="265"/>
      <c r="K331" s="265"/>
      <c r="L331" s="265"/>
      <c r="M331" s="265"/>
      <c r="N331" s="265"/>
      <c r="O331" s="265"/>
      <c r="P331" s="265"/>
      <c r="Q331" s="265"/>
      <c r="R331" s="265"/>
      <c r="S331" s="265"/>
      <c r="T331" s="265"/>
      <c r="U331" s="265"/>
      <c r="V331" s="265"/>
    </row>
    <row r="332" spans="1:22" x14ac:dyDescent="0.25">
      <c r="A332" s="265"/>
      <c r="B332" s="265"/>
      <c r="C332" s="265"/>
      <c r="D332" s="265"/>
      <c r="E332" s="265"/>
      <c r="F332" s="265"/>
      <c r="G332" s="265"/>
      <c r="H332" s="265"/>
      <c r="I332" s="265"/>
      <c r="J332" s="265"/>
      <c r="K332" s="265"/>
      <c r="L332" s="265"/>
      <c r="M332" s="265"/>
      <c r="N332" s="265"/>
      <c r="O332" s="265"/>
      <c r="P332" s="265"/>
      <c r="Q332" s="265"/>
      <c r="R332" s="265"/>
      <c r="S332" s="265"/>
      <c r="T332" s="265"/>
      <c r="U332" s="265"/>
      <c r="V332" s="265"/>
    </row>
    <row r="333" spans="1:22" x14ac:dyDescent="0.25">
      <c r="A333" s="265"/>
      <c r="B333" s="265"/>
      <c r="C333" s="265"/>
      <c r="D333" s="265"/>
      <c r="E333" s="265"/>
      <c r="F333" s="265"/>
      <c r="G333" s="265"/>
      <c r="H333" s="265"/>
      <c r="I333" s="265"/>
      <c r="J333" s="265"/>
      <c r="K333" s="265"/>
      <c r="L333" s="265"/>
      <c r="M333" s="265"/>
      <c r="N333" s="265"/>
      <c r="O333" s="265"/>
      <c r="P333" s="265"/>
      <c r="Q333" s="265"/>
      <c r="R333" s="265"/>
      <c r="S333" s="265"/>
      <c r="T333" s="265"/>
      <c r="U333" s="265"/>
      <c r="V333" s="265"/>
    </row>
    <row r="334" spans="1:22" x14ac:dyDescent="0.25">
      <c r="A334" s="265"/>
      <c r="B334" s="265"/>
      <c r="C334" s="265"/>
      <c r="D334" s="265"/>
      <c r="E334" s="265"/>
      <c r="F334" s="265"/>
      <c r="G334" s="265"/>
      <c r="H334" s="265"/>
      <c r="I334" s="265"/>
      <c r="J334" s="265"/>
      <c r="K334" s="265"/>
      <c r="L334" s="265"/>
      <c r="M334" s="265"/>
      <c r="N334" s="265"/>
      <c r="O334" s="265"/>
      <c r="P334" s="265"/>
      <c r="Q334" s="265"/>
      <c r="R334" s="265"/>
      <c r="S334" s="265"/>
      <c r="T334" s="265"/>
      <c r="U334" s="265"/>
      <c r="V334" s="265"/>
    </row>
    <row r="335" spans="1:22" x14ac:dyDescent="0.25">
      <c r="A335" s="265"/>
      <c r="B335" s="265"/>
      <c r="C335" s="265"/>
      <c r="D335" s="265"/>
      <c r="E335" s="265"/>
      <c r="F335" s="265"/>
      <c r="G335" s="265"/>
      <c r="H335" s="265"/>
      <c r="I335" s="265"/>
      <c r="J335" s="265"/>
      <c r="K335" s="265"/>
      <c r="L335" s="265"/>
      <c r="M335" s="265"/>
      <c r="N335" s="265"/>
      <c r="O335" s="265"/>
      <c r="P335" s="265"/>
      <c r="Q335" s="265"/>
      <c r="R335" s="265"/>
      <c r="S335" s="265"/>
      <c r="T335" s="265"/>
      <c r="U335" s="265"/>
      <c r="V335" s="265"/>
    </row>
    <row r="336" spans="1:22" x14ac:dyDescent="0.25">
      <c r="A336" s="265"/>
      <c r="B336" s="265"/>
      <c r="C336" s="265"/>
      <c r="D336" s="265"/>
      <c r="E336" s="265"/>
      <c r="F336" s="265"/>
      <c r="G336" s="265"/>
      <c r="H336" s="265"/>
      <c r="I336" s="265"/>
      <c r="J336" s="265"/>
      <c r="K336" s="265"/>
      <c r="L336" s="265"/>
      <c r="M336" s="265"/>
      <c r="N336" s="265"/>
      <c r="O336" s="265"/>
      <c r="P336" s="265"/>
      <c r="Q336" s="265"/>
      <c r="R336" s="265"/>
      <c r="S336" s="265"/>
      <c r="T336" s="265"/>
      <c r="U336" s="265"/>
      <c r="V336" s="265"/>
    </row>
    <row r="337" spans="1:22" x14ac:dyDescent="0.25">
      <c r="A337" s="265"/>
      <c r="B337" s="265"/>
      <c r="C337" s="265"/>
      <c r="D337" s="265"/>
      <c r="E337" s="265"/>
      <c r="F337" s="265"/>
      <c r="G337" s="265"/>
      <c r="H337" s="265"/>
      <c r="I337" s="265"/>
      <c r="J337" s="265"/>
      <c r="K337" s="265"/>
      <c r="L337" s="265"/>
      <c r="M337" s="265"/>
      <c r="N337" s="265"/>
      <c r="O337" s="265"/>
      <c r="P337" s="265"/>
      <c r="Q337" s="265"/>
      <c r="R337" s="265"/>
      <c r="S337" s="265"/>
      <c r="T337" s="265"/>
      <c r="U337" s="265"/>
      <c r="V337" s="265"/>
    </row>
    <row r="338" spans="1:22" x14ac:dyDescent="0.25">
      <c r="A338" s="265"/>
      <c r="B338" s="265"/>
      <c r="C338" s="265"/>
      <c r="D338" s="265"/>
      <c r="E338" s="265"/>
      <c r="F338" s="265"/>
      <c r="G338" s="265"/>
      <c r="H338" s="265"/>
      <c r="I338" s="265"/>
      <c r="J338" s="265"/>
      <c r="K338" s="265"/>
      <c r="L338" s="265"/>
      <c r="M338" s="265"/>
      <c r="N338" s="265"/>
      <c r="O338" s="265"/>
      <c r="P338" s="265"/>
      <c r="Q338" s="265"/>
      <c r="R338" s="265"/>
      <c r="S338" s="265"/>
      <c r="T338" s="265"/>
      <c r="U338" s="265"/>
      <c r="V338" s="26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0" sqref="J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49"/>
      <c r="B5" s="49"/>
      <c r="C5" s="49"/>
      <c r="D5" s="49"/>
      <c r="E5" s="49"/>
      <c r="F5" s="49"/>
      <c r="AC5" s="14"/>
    </row>
    <row r="6" spans="1:29" ht="18.75" x14ac:dyDescent="0.25">
      <c r="A6" s="473" t="s">
        <v>6</v>
      </c>
      <c r="B6" s="473"/>
      <c r="C6" s="473"/>
      <c r="D6" s="473"/>
      <c r="E6" s="473"/>
      <c r="F6" s="473"/>
      <c r="G6" s="473"/>
      <c r="H6" s="473"/>
      <c r="I6" s="473"/>
      <c r="J6" s="473"/>
      <c r="K6" s="473"/>
      <c r="L6" s="473"/>
      <c r="M6" s="473"/>
      <c r="N6" s="473"/>
      <c r="O6" s="473"/>
      <c r="P6" s="473"/>
      <c r="Q6" s="473"/>
      <c r="R6" s="473"/>
      <c r="S6" s="473"/>
      <c r="T6" s="473"/>
      <c r="U6" s="473"/>
      <c r="V6" s="473"/>
      <c r="W6" s="473"/>
      <c r="X6" s="473"/>
      <c r="Y6" s="473"/>
      <c r="Z6" s="473"/>
      <c r="AA6" s="473"/>
      <c r="AB6" s="473"/>
      <c r="AC6" s="473"/>
    </row>
    <row r="7" spans="1:29" ht="18.75" x14ac:dyDescent="0.25">
      <c r="A7" s="96"/>
      <c r="B7" s="96"/>
      <c r="C7" s="96"/>
      <c r="D7" s="96"/>
      <c r="E7" s="96"/>
      <c r="F7" s="96"/>
      <c r="G7" s="96"/>
      <c r="H7" s="96"/>
      <c r="I7" s="96"/>
      <c r="J7" s="59"/>
      <c r="K7" s="59"/>
      <c r="L7" s="59"/>
      <c r="M7" s="59"/>
      <c r="N7" s="59"/>
      <c r="O7" s="59"/>
      <c r="P7" s="59"/>
      <c r="Q7" s="59"/>
      <c r="R7" s="59"/>
      <c r="S7" s="59"/>
      <c r="T7" s="59"/>
      <c r="U7" s="59"/>
      <c r="V7" s="59"/>
      <c r="W7" s="59"/>
      <c r="X7" s="59"/>
      <c r="Y7" s="59"/>
      <c r="Z7" s="59"/>
      <c r="AA7" s="59"/>
      <c r="AB7" s="59"/>
      <c r="AC7" s="59"/>
    </row>
    <row r="8" spans="1:29" x14ac:dyDescent="0.25">
      <c r="A8" s="467" t="str">
        <f>'1. паспорт местоположение'!A9:C9</f>
        <v>Акционерное общество "Россети Янтарь" ДЗО  ПАО "Россети"</v>
      </c>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row>
    <row r="9" spans="1:29" ht="18.75" customHeight="1" x14ac:dyDescent="0.25">
      <c r="A9" s="472" t="s">
        <v>5</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472"/>
    </row>
    <row r="10" spans="1:29" ht="18.75" x14ac:dyDescent="0.25">
      <c r="A10" s="96"/>
      <c r="B10" s="96"/>
      <c r="C10" s="96"/>
      <c r="D10" s="96"/>
      <c r="E10" s="96"/>
      <c r="F10" s="96"/>
      <c r="G10" s="96"/>
      <c r="H10" s="96"/>
      <c r="I10" s="96"/>
      <c r="J10" s="59"/>
      <c r="K10" s="59"/>
      <c r="L10" s="59"/>
      <c r="M10" s="59"/>
      <c r="N10" s="59"/>
      <c r="O10" s="59"/>
      <c r="P10" s="59"/>
      <c r="Q10" s="59"/>
      <c r="R10" s="59"/>
      <c r="S10" s="59"/>
      <c r="T10" s="59"/>
      <c r="U10" s="59"/>
      <c r="V10" s="59"/>
      <c r="W10" s="59"/>
      <c r="X10" s="59"/>
      <c r="Y10" s="59"/>
      <c r="Z10" s="59"/>
      <c r="AA10" s="59"/>
      <c r="AB10" s="59"/>
      <c r="AC10" s="59"/>
    </row>
    <row r="11" spans="1:29" x14ac:dyDescent="0.25">
      <c r="A11" s="467" t="str">
        <f>'1. паспорт местоположение'!A12:C12</f>
        <v>N_22-1289</v>
      </c>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row>
    <row r="12" spans="1:29" x14ac:dyDescent="0.25">
      <c r="A12" s="472" t="s">
        <v>4</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82"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row>
    <row r="15" spans="1:29" ht="15.75" customHeight="1" x14ac:dyDescent="0.25">
      <c r="A15" s="472" t="s">
        <v>3</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row>
    <row r="16" spans="1:29" x14ac:dyDescent="0.25">
      <c r="A16" s="562"/>
      <c r="B16" s="562"/>
      <c r="C16" s="562"/>
      <c r="D16" s="562"/>
      <c r="E16" s="562"/>
      <c r="F16" s="562"/>
      <c r="G16" s="562"/>
      <c r="H16" s="562"/>
      <c r="I16" s="562"/>
      <c r="J16" s="562"/>
      <c r="K16" s="562"/>
      <c r="L16" s="562"/>
      <c r="M16" s="562"/>
      <c r="N16" s="562"/>
      <c r="O16" s="562"/>
      <c r="P16" s="562"/>
      <c r="Q16" s="562"/>
      <c r="R16" s="562"/>
      <c r="S16" s="562"/>
      <c r="T16" s="562"/>
      <c r="U16" s="562"/>
      <c r="V16" s="562"/>
      <c r="W16" s="562"/>
      <c r="X16" s="562"/>
      <c r="Y16" s="562"/>
      <c r="Z16" s="562"/>
      <c r="AA16" s="562"/>
      <c r="AB16" s="562"/>
      <c r="AC16" s="562"/>
    </row>
    <row r="17" spans="1:32" x14ac:dyDescent="0.25">
      <c r="A17" s="49"/>
      <c r="AB17" s="49"/>
    </row>
    <row r="18" spans="1:32" x14ac:dyDescent="0.25">
      <c r="A18" s="563" t="s">
        <v>428</v>
      </c>
      <c r="B18" s="563"/>
      <c r="C18" s="563"/>
      <c r="D18" s="563"/>
      <c r="E18" s="563"/>
      <c r="F18" s="563"/>
      <c r="G18" s="563"/>
      <c r="H18" s="563"/>
      <c r="I18" s="563"/>
      <c r="J18" s="563"/>
      <c r="K18" s="563"/>
      <c r="L18" s="563"/>
      <c r="M18" s="563"/>
      <c r="N18" s="563"/>
      <c r="O18" s="563"/>
      <c r="P18" s="563"/>
      <c r="Q18" s="563"/>
      <c r="R18" s="563"/>
      <c r="S18" s="563"/>
      <c r="T18" s="563"/>
      <c r="U18" s="563"/>
      <c r="V18" s="563"/>
      <c r="W18" s="563"/>
      <c r="X18" s="563"/>
      <c r="Y18" s="563"/>
      <c r="Z18" s="563"/>
      <c r="AA18" s="563"/>
      <c r="AB18" s="563"/>
      <c r="AC18" s="563"/>
    </row>
    <row r="19" spans="1:32" x14ac:dyDescent="0.25">
      <c r="A19" s="49"/>
      <c r="B19" s="49"/>
      <c r="C19" s="49"/>
      <c r="D19" s="49"/>
      <c r="E19" s="49"/>
      <c r="F19" s="49"/>
      <c r="AB19" s="49"/>
    </row>
    <row r="20" spans="1:32" ht="33" customHeight="1" x14ac:dyDescent="0.25">
      <c r="A20" s="568" t="s">
        <v>182</v>
      </c>
      <c r="B20" s="568" t="s">
        <v>181</v>
      </c>
      <c r="C20" s="567" t="s">
        <v>180</v>
      </c>
      <c r="D20" s="567"/>
      <c r="E20" s="569" t="s">
        <v>179</v>
      </c>
      <c r="F20" s="569"/>
      <c r="G20" s="570" t="s">
        <v>580</v>
      </c>
      <c r="H20" s="565" t="s">
        <v>567</v>
      </c>
      <c r="I20" s="566"/>
      <c r="J20" s="566"/>
      <c r="K20" s="566"/>
      <c r="L20" s="565" t="s">
        <v>568</v>
      </c>
      <c r="M20" s="566"/>
      <c r="N20" s="566"/>
      <c r="O20" s="566"/>
      <c r="P20" s="565" t="s">
        <v>569</v>
      </c>
      <c r="Q20" s="566"/>
      <c r="R20" s="566"/>
      <c r="S20" s="566"/>
      <c r="T20" s="565" t="s">
        <v>570</v>
      </c>
      <c r="U20" s="566"/>
      <c r="V20" s="566"/>
      <c r="W20" s="566"/>
      <c r="X20" s="565" t="s">
        <v>571</v>
      </c>
      <c r="Y20" s="566"/>
      <c r="Z20" s="566"/>
      <c r="AA20" s="566"/>
      <c r="AB20" s="564" t="s">
        <v>178</v>
      </c>
      <c r="AC20" s="564"/>
      <c r="AD20" s="57"/>
      <c r="AE20" s="57"/>
      <c r="AF20" s="57"/>
    </row>
    <row r="21" spans="1:32" ht="99.75" customHeight="1" x14ac:dyDescent="0.25">
      <c r="A21" s="547"/>
      <c r="B21" s="547"/>
      <c r="C21" s="567"/>
      <c r="D21" s="567"/>
      <c r="E21" s="569"/>
      <c r="F21" s="569"/>
      <c r="G21" s="571"/>
      <c r="H21" s="567" t="s">
        <v>1</v>
      </c>
      <c r="I21" s="567"/>
      <c r="J21" s="567" t="s">
        <v>8</v>
      </c>
      <c r="K21" s="567"/>
      <c r="L21" s="567" t="s">
        <v>1</v>
      </c>
      <c r="M21" s="567"/>
      <c r="N21" s="567" t="s">
        <v>8</v>
      </c>
      <c r="O21" s="567"/>
      <c r="P21" s="567" t="s">
        <v>1</v>
      </c>
      <c r="Q21" s="567"/>
      <c r="R21" s="567" t="s">
        <v>8</v>
      </c>
      <c r="S21" s="567"/>
      <c r="T21" s="567" t="s">
        <v>1</v>
      </c>
      <c r="U21" s="567"/>
      <c r="V21" s="567" t="s">
        <v>8</v>
      </c>
      <c r="W21" s="567"/>
      <c r="X21" s="567" t="s">
        <v>1</v>
      </c>
      <c r="Y21" s="567"/>
      <c r="Z21" s="567" t="s">
        <v>8</v>
      </c>
      <c r="AA21" s="567"/>
      <c r="AB21" s="564"/>
      <c r="AC21" s="564"/>
    </row>
    <row r="22" spans="1:32" ht="89.25" customHeight="1" x14ac:dyDescent="0.25">
      <c r="A22" s="548"/>
      <c r="B22" s="548"/>
      <c r="C22" s="366" t="s">
        <v>1</v>
      </c>
      <c r="D22" s="366" t="s">
        <v>177</v>
      </c>
      <c r="E22" s="367" t="s">
        <v>572</v>
      </c>
      <c r="F22" s="397" t="s">
        <v>600</v>
      </c>
      <c r="G22" s="572"/>
      <c r="H22" s="368" t="s">
        <v>409</v>
      </c>
      <c r="I22" s="368" t="s">
        <v>410</v>
      </c>
      <c r="J22" s="368" t="s">
        <v>409</v>
      </c>
      <c r="K22" s="368" t="s">
        <v>410</v>
      </c>
      <c r="L22" s="368" t="s">
        <v>409</v>
      </c>
      <c r="M22" s="368" t="s">
        <v>410</v>
      </c>
      <c r="N22" s="368" t="s">
        <v>409</v>
      </c>
      <c r="O22" s="368" t="s">
        <v>410</v>
      </c>
      <c r="P22" s="368" t="s">
        <v>409</v>
      </c>
      <c r="Q22" s="368" t="s">
        <v>410</v>
      </c>
      <c r="R22" s="368" t="s">
        <v>409</v>
      </c>
      <c r="S22" s="368" t="s">
        <v>410</v>
      </c>
      <c r="T22" s="368" t="s">
        <v>409</v>
      </c>
      <c r="U22" s="368" t="s">
        <v>410</v>
      </c>
      <c r="V22" s="368" t="s">
        <v>409</v>
      </c>
      <c r="W22" s="368" t="s">
        <v>410</v>
      </c>
      <c r="X22" s="368" t="s">
        <v>409</v>
      </c>
      <c r="Y22" s="368" t="s">
        <v>410</v>
      </c>
      <c r="Z22" s="368" t="s">
        <v>409</v>
      </c>
      <c r="AA22" s="368" t="s">
        <v>410</v>
      </c>
      <c r="AB22" s="366" t="s">
        <v>1</v>
      </c>
      <c r="AC22" s="366" t="s">
        <v>8</v>
      </c>
    </row>
    <row r="23" spans="1:32" ht="19.5" customHeight="1" x14ac:dyDescent="0.25">
      <c r="A23" s="325">
        <v>1</v>
      </c>
      <c r="B23" s="325">
        <v>2</v>
      </c>
      <c r="C23" s="369">
        <v>3</v>
      </c>
      <c r="D23" s="369">
        <v>4</v>
      </c>
      <c r="E23" s="369">
        <v>5</v>
      </c>
      <c r="F23" s="398">
        <v>6</v>
      </c>
      <c r="G23" s="369">
        <v>7</v>
      </c>
      <c r="H23" s="369">
        <v>8</v>
      </c>
      <c r="I23" s="369">
        <v>9</v>
      </c>
      <c r="J23" s="369">
        <v>10</v>
      </c>
      <c r="K23" s="369">
        <v>11</v>
      </c>
      <c r="L23" s="369">
        <v>12</v>
      </c>
      <c r="M23" s="369">
        <v>13</v>
      </c>
      <c r="N23" s="369">
        <v>14</v>
      </c>
      <c r="O23" s="369">
        <v>15</v>
      </c>
      <c r="P23" s="369">
        <v>16</v>
      </c>
      <c r="Q23" s="369">
        <v>17</v>
      </c>
      <c r="R23" s="369">
        <v>18</v>
      </c>
      <c r="S23" s="369">
        <v>19</v>
      </c>
      <c r="T23" s="369">
        <v>20</v>
      </c>
      <c r="U23" s="369">
        <v>21</v>
      </c>
      <c r="V23" s="369">
        <v>22</v>
      </c>
      <c r="W23" s="369">
        <v>23</v>
      </c>
      <c r="X23" s="369">
        <v>24</v>
      </c>
      <c r="Y23" s="369">
        <v>25</v>
      </c>
      <c r="Z23" s="369">
        <v>26</v>
      </c>
      <c r="AA23" s="369">
        <v>27</v>
      </c>
      <c r="AB23" s="369">
        <v>28</v>
      </c>
      <c r="AC23" s="369">
        <v>29</v>
      </c>
    </row>
    <row r="24" spans="1:32" ht="47.25" customHeight="1" x14ac:dyDescent="0.25">
      <c r="A24" s="335">
        <v>1</v>
      </c>
      <c r="B24" s="336" t="s">
        <v>176</v>
      </c>
      <c r="C24" s="337">
        <f>SUM(C25:C29)</f>
        <v>9.5458094100000004</v>
      </c>
      <c r="D24" s="337">
        <f t="shared" ref="D24" si="0">SUM(D25:D29)</f>
        <v>0</v>
      </c>
      <c r="E24" s="370">
        <f t="shared" ref="E24:F24" si="1">SUM(E25:E29)</f>
        <v>9.5458094100000004</v>
      </c>
      <c r="F24" s="399">
        <f t="shared" si="1"/>
        <v>9.5458094100000004</v>
      </c>
      <c r="G24" s="361">
        <f t="shared" ref="G24:AA24" si="2">SUM(G25:G29)</f>
        <v>0</v>
      </c>
      <c r="H24" s="361">
        <f t="shared" si="2"/>
        <v>0.27911696000000003</v>
      </c>
      <c r="I24" s="361">
        <f t="shared" si="2"/>
        <v>0</v>
      </c>
      <c r="J24" s="361">
        <f t="shared" ref="J24:K24" si="3">SUM(J25:J29)</f>
        <v>0</v>
      </c>
      <c r="K24" s="361">
        <f t="shared" si="3"/>
        <v>0</v>
      </c>
      <c r="L24" s="361">
        <f t="shared" si="2"/>
        <v>9.2666924500000007</v>
      </c>
      <c r="M24" s="361">
        <f t="shared" si="2"/>
        <v>9.2666924500000007</v>
      </c>
      <c r="N24" s="361">
        <f t="shared" ref="N24" si="4">SUM(N25:N29)</f>
        <v>0.96369281999999989</v>
      </c>
      <c r="O24" s="361">
        <f t="shared" si="2"/>
        <v>0.7545903599999999</v>
      </c>
      <c r="P24" s="361">
        <f>SUM(P25:P29)</f>
        <v>0</v>
      </c>
      <c r="Q24" s="361">
        <f t="shared" ref="Q24:S24" si="5">SUM(Q25:Q29)</f>
        <v>0</v>
      </c>
      <c r="R24" s="361">
        <f t="shared" si="5"/>
        <v>0</v>
      </c>
      <c r="S24" s="361">
        <f t="shared" si="5"/>
        <v>0</v>
      </c>
      <c r="T24" s="361">
        <f t="shared" si="2"/>
        <v>0</v>
      </c>
      <c r="U24" s="361">
        <f t="shared" si="2"/>
        <v>0</v>
      </c>
      <c r="V24" s="361">
        <f t="shared" si="2"/>
        <v>0</v>
      </c>
      <c r="W24" s="361">
        <f t="shared" si="2"/>
        <v>0</v>
      </c>
      <c r="X24" s="361">
        <f>SUM(X25:X29)</f>
        <v>0</v>
      </c>
      <c r="Y24" s="361">
        <f t="shared" si="2"/>
        <v>0</v>
      </c>
      <c r="Z24" s="361">
        <f t="shared" si="2"/>
        <v>0</v>
      </c>
      <c r="AA24" s="361">
        <f t="shared" si="2"/>
        <v>0</v>
      </c>
      <c r="AB24" s="361">
        <f>H24+L24+P24+T24+X24</f>
        <v>9.5458094100000004</v>
      </c>
      <c r="AC24" s="362">
        <f>J24+N24+R24+V24+Z24</f>
        <v>0.96369281999999989</v>
      </c>
    </row>
    <row r="25" spans="1:32" ht="24" customHeight="1" x14ac:dyDescent="0.25">
      <c r="A25" s="338" t="s">
        <v>175</v>
      </c>
      <c r="B25" s="339" t="s">
        <v>174</v>
      </c>
      <c r="C25" s="337">
        <v>0</v>
      </c>
      <c r="D25" s="337">
        <v>0</v>
      </c>
      <c r="E25" s="371">
        <f>C25</f>
        <v>0</v>
      </c>
      <c r="F25" s="399">
        <f>E25-G25-J25</f>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1">
        <f t="shared" ref="AB25:AB64" si="6">H25+L25+P25+T25+X25</f>
        <v>0</v>
      </c>
      <c r="AC25" s="362">
        <f t="shared" ref="AC25:AC64" si="7">J25+N25+R25+V25+Z25</f>
        <v>0</v>
      </c>
    </row>
    <row r="26" spans="1:32" x14ac:dyDescent="0.25">
      <c r="A26" s="338" t="s">
        <v>173</v>
      </c>
      <c r="B26" s="339" t="s">
        <v>172</v>
      </c>
      <c r="C26" s="337">
        <v>0</v>
      </c>
      <c r="D26" s="337">
        <v>0</v>
      </c>
      <c r="E26" s="371">
        <f>C26</f>
        <v>0</v>
      </c>
      <c r="F26" s="399">
        <f t="shared" ref="F26:F64" si="8">E26-G26-J26</f>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1">
        <f t="shared" si="6"/>
        <v>0</v>
      </c>
      <c r="AC26" s="362">
        <f t="shared" si="7"/>
        <v>0</v>
      </c>
    </row>
    <row r="27" spans="1:32" ht="31.5" x14ac:dyDescent="0.25">
      <c r="A27" s="338" t="s">
        <v>171</v>
      </c>
      <c r="B27" s="339" t="s">
        <v>365</v>
      </c>
      <c r="C27" s="337">
        <v>9.5458094100000004</v>
      </c>
      <c r="D27" s="337">
        <v>0</v>
      </c>
      <c r="E27" s="371">
        <f>C27</f>
        <v>9.5458094100000004</v>
      </c>
      <c r="F27" s="399">
        <f t="shared" si="8"/>
        <v>9.5458094100000004</v>
      </c>
      <c r="G27" s="363">
        <v>0</v>
      </c>
      <c r="H27" s="363">
        <v>0.27911696000000003</v>
      </c>
      <c r="I27" s="363">
        <v>0</v>
      </c>
      <c r="J27" s="363">
        <v>0</v>
      </c>
      <c r="K27" s="363">
        <v>0</v>
      </c>
      <c r="L27" s="363">
        <v>9.2666924500000007</v>
      </c>
      <c r="M27" s="363">
        <v>9.2666924500000007</v>
      </c>
      <c r="N27" s="363">
        <v>0.96369281999999989</v>
      </c>
      <c r="O27" s="363">
        <v>0.7545903599999999</v>
      </c>
      <c r="P27" s="363">
        <v>0</v>
      </c>
      <c r="Q27" s="363">
        <v>0</v>
      </c>
      <c r="R27" s="363">
        <v>0</v>
      </c>
      <c r="S27" s="363">
        <v>0</v>
      </c>
      <c r="T27" s="363">
        <v>0</v>
      </c>
      <c r="U27" s="363">
        <v>0</v>
      </c>
      <c r="V27" s="364">
        <v>0</v>
      </c>
      <c r="W27" s="363">
        <v>0</v>
      </c>
      <c r="X27" s="363">
        <v>0</v>
      </c>
      <c r="Y27" s="363">
        <v>0</v>
      </c>
      <c r="Z27" s="363">
        <v>0</v>
      </c>
      <c r="AA27" s="363">
        <v>0</v>
      </c>
      <c r="AB27" s="361">
        <f t="shared" si="6"/>
        <v>9.5458094100000004</v>
      </c>
      <c r="AC27" s="362">
        <f t="shared" si="7"/>
        <v>0.96369281999999989</v>
      </c>
    </row>
    <row r="28" spans="1:32" x14ac:dyDescent="0.25">
      <c r="A28" s="338" t="s">
        <v>170</v>
      </c>
      <c r="B28" s="339" t="s">
        <v>169</v>
      </c>
      <c r="C28" s="337">
        <v>0</v>
      </c>
      <c r="D28" s="337">
        <v>0</v>
      </c>
      <c r="E28" s="371">
        <f>C28</f>
        <v>0</v>
      </c>
      <c r="F28" s="399">
        <f t="shared" si="8"/>
        <v>0</v>
      </c>
      <c r="G28" s="363">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1">
        <f t="shared" si="6"/>
        <v>0</v>
      </c>
      <c r="AC28" s="362">
        <f t="shared" si="7"/>
        <v>0</v>
      </c>
    </row>
    <row r="29" spans="1:32" x14ac:dyDescent="0.25">
      <c r="A29" s="338" t="s">
        <v>168</v>
      </c>
      <c r="B29" s="56" t="s">
        <v>167</v>
      </c>
      <c r="C29" s="337">
        <v>0</v>
      </c>
      <c r="D29" s="337">
        <v>0</v>
      </c>
      <c r="E29" s="371">
        <f>C29</f>
        <v>0</v>
      </c>
      <c r="F29" s="399">
        <f t="shared" si="8"/>
        <v>0</v>
      </c>
      <c r="G29" s="363">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1">
        <f t="shared" si="6"/>
        <v>0</v>
      </c>
      <c r="AC29" s="362">
        <f t="shared" si="7"/>
        <v>0</v>
      </c>
    </row>
    <row r="30" spans="1:32" ht="47.25" x14ac:dyDescent="0.25">
      <c r="A30" s="335" t="s">
        <v>60</v>
      </c>
      <c r="B30" s="336" t="s">
        <v>166</v>
      </c>
      <c r="C30" s="337">
        <f t="shared" ref="C30:AA30" si="9">SUM(C31:C34)</f>
        <v>7.9548411800000007</v>
      </c>
      <c r="D30" s="337">
        <f t="shared" ref="D30" si="10">SUM(D31:D34)</f>
        <v>0</v>
      </c>
      <c r="E30" s="370">
        <f t="shared" ref="E30:F30" si="11">SUM(E31:E34)</f>
        <v>7.9548411800000007</v>
      </c>
      <c r="F30" s="399">
        <f t="shared" si="11"/>
        <v>7.7457387200000003</v>
      </c>
      <c r="G30" s="361">
        <f t="shared" si="9"/>
        <v>0</v>
      </c>
      <c r="H30" s="361">
        <f t="shared" si="9"/>
        <v>0.23259747</v>
      </c>
      <c r="I30" s="361">
        <f t="shared" si="9"/>
        <v>0</v>
      </c>
      <c r="J30" s="361">
        <f t="shared" ref="J30:K30" si="12">SUM(J31:J34)</f>
        <v>0.20910245999999999</v>
      </c>
      <c r="K30" s="361">
        <f t="shared" si="12"/>
        <v>0</v>
      </c>
      <c r="L30" s="361">
        <f t="shared" si="9"/>
        <v>7.7222437100000008</v>
      </c>
      <c r="M30" s="361">
        <f t="shared" ref="M30" si="13">SUM(M31:M34)</f>
        <v>7.7222437100000008</v>
      </c>
      <c r="N30" s="361">
        <f t="shared" ref="N30" si="14">SUM(N31:N34)</f>
        <v>9.2692515699999998</v>
      </c>
      <c r="O30" s="361">
        <f t="shared" si="9"/>
        <v>9.2692515699999998</v>
      </c>
      <c r="P30" s="361">
        <f t="shared" si="9"/>
        <v>0</v>
      </c>
      <c r="Q30" s="361">
        <f t="shared" si="9"/>
        <v>0</v>
      </c>
      <c r="R30" s="361">
        <f t="shared" si="9"/>
        <v>0</v>
      </c>
      <c r="S30" s="361">
        <f t="shared" si="9"/>
        <v>0</v>
      </c>
      <c r="T30" s="361">
        <f t="shared" si="9"/>
        <v>0</v>
      </c>
      <c r="U30" s="361">
        <f t="shared" si="9"/>
        <v>0</v>
      </c>
      <c r="V30" s="361">
        <f t="shared" si="9"/>
        <v>0</v>
      </c>
      <c r="W30" s="361">
        <f t="shared" si="9"/>
        <v>0</v>
      </c>
      <c r="X30" s="361">
        <f t="shared" si="9"/>
        <v>0</v>
      </c>
      <c r="Y30" s="361">
        <f t="shared" si="9"/>
        <v>0</v>
      </c>
      <c r="Z30" s="361">
        <f t="shared" si="9"/>
        <v>0</v>
      </c>
      <c r="AA30" s="361">
        <f t="shared" si="9"/>
        <v>0</v>
      </c>
      <c r="AB30" s="361">
        <f t="shared" si="6"/>
        <v>7.9548411800000007</v>
      </c>
      <c r="AC30" s="362">
        <f t="shared" si="7"/>
        <v>9.4783540300000002</v>
      </c>
    </row>
    <row r="31" spans="1:32" x14ac:dyDescent="0.25">
      <c r="A31" s="335" t="s">
        <v>165</v>
      </c>
      <c r="B31" s="339" t="s">
        <v>164</v>
      </c>
      <c r="C31" s="337">
        <v>0.23259747</v>
      </c>
      <c r="D31" s="337">
        <v>0</v>
      </c>
      <c r="E31" s="371">
        <f t="shared" ref="E31:E64" si="15">C31</f>
        <v>0.23259747</v>
      </c>
      <c r="F31" s="399">
        <f t="shared" si="8"/>
        <v>2.3495010000000011E-2</v>
      </c>
      <c r="G31" s="363">
        <v>0</v>
      </c>
      <c r="H31" s="363">
        <v>0.23259747</v>
      </c>
      <c r="I31" s="363">
        <v>0</v>
      </c>
      <c r="J31" s="363">
        <v>0.20910245999999999</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1">
        <f t="shared" si="6"/>
        <v>0.23259747</v>
      </c>
      <c r="AC31" s="362">
        <f t="shared" si="7"/>
        <v>0.20910245999999999</v>
      </c>
    </row>
    <row r="32" spans="1:32" ht="31.5" x14ac:dyDescent="0.25">
      <c r="A32" s="335" t="s">
        <v>163</v>
      </c>
      <c r="B32" s="339" t="s">
        <v>162</v>
      </c>
      <c r="C32" s="337">
        <v>5.77870259</v>
      </c>
      <c r="D32" s="337">
        <v>0</v>
      </c>
      <c r="E32" s="371">
        <f t="shared" si="15"/>
        <v>5.77870259</v>
      </c>
      <c r="F32" s="399">
        <f t="shared" si="8"/>
        <v>5.77870259</v>
      </c>
      <c r="G32" s="363">
        <v>0</v>
      </c>
      <c r="H32" s="363">
        <v>0</v>
      </c>
      <c r="I32" s="363">
        <v>0</v>
      </c>
      <c r="J32" s="363">
        <v>0</v>
      </c>
      <c r="K32" s="363">
        <v>0</v>
      </c>
      <c r="L32" s="363">
        <v>5.77870259</v>
      </c>
      <c r="M32" s="363">
        <v>5.77870259</v>
      </c>
      <c r="N32" s="363">
        <v>7.1784444199999999</v>
      </c>
      <c r="O32" s="363">
        <v>7.1784444199999999</v>
      </c>
      <c r="P32" s="363">
        <v>0</v>
      </c>
      <c r="Q32" s="363">
        <v>0</v>
      </c>
      <c r="R32" s="363">
        <v>0</v>
      </c>
      <c r="S32" s="363">
        <v>0</v>
      </c>
      <c r="T32" s="363">
        <v>0</v>
      </c>
      <c r="U32" s="363">
        <v>0</v>
      </c>
      <c r="V32" s="363">
        <v>0</v>
      </c>
      <c r="W32" s="363">
        <v>0</v>
      </c>
      <c r="X32" s="363">
        <v>0</v>
      </c>
      <c r="Y32" s="363">
        <v>0</v>
      </c>
      <c r="Z32" s="363">
        <v>0</v>
      </c>
      <c r="AA32" s="363">
        <v>0</v>
      </c>
      <c r="AB32" s="361">
        <f t="shared" si="6"/>
        <v>5.77870259</v>
      </c>
      <c r="AC32" s="362">
        <f t="shared" si="7"/>
        <v>7.1784444199999999</v>
      </c>
    </row>
    <row r="33" spans="1:29" x14ac:dyDescent="0.25">
      <c r="A33" s="335" t="s">
        <v>161</v>
      </c>
      <c r="B33" s="339" t="s">
        <v>160</v>
      </c>
      <c r="C33" s="337">
        <v>1.1943055</v>
      </c>
      <c r="D33" s="337">
        <v>0</v>
      </c>
      <c r="E33" s="371">
        <f t="shared" si="15"/>
        <v>1.1943055</v>
      </c>
      <c r="F33" s="399">
        <f t="shared" si="8"/>
        <v>1.1943055</v>
      </c>
      <c r="G33" s="363">
        <v>0</v>
      </c>
      <c r="H33" s="363">
        <v>0</v>
      </c>
      <c r="I33" s="363">
        <v>0</v>
      </c>
      <c r="J33" s="363">
        <v>0</v>
      </c>
      <c r="K33" s="363">
        <v>0</v>
      </c>
      <c r="L33" s="363">
        <v>1.1943055</v>
      </c>
      <c r="M33" s="363">
        <v>1.1943055</v>
      </c>
      <c r="N33" s="363">
        <v>0.79179716</v>
      </c>
      <c r="O33" s="363">
        <v>0.79179716</v>
      </c>
      <c r="P33" s="363">
        <v>0</v>
      </c>
      <c r="Q33" s="363">
        <v>0</v>
      </c>
      <c r="R33" s="363">
        <v>0</v>
      </c>
      <c r="S33" s="363">
        <v>0</v>
      </c>
      <c r="T33" s="363">
        <v>0</v>
      </c>
      <c r="U33" s="363">
        <v>0</v>
      </c>
      <c r="V33" s="363">
        <v>0</v>
      </c>
      <c r="W33" s="363">
        <v>0</v>
      </c>
      <c r="X33" s="363">
        <v>0</v>
      </c>
      <c r="Y33" s="363">
        <v>0</v>
      </c>
      <c r="Z33" s="363">
        <v>0</v>
      </c>
      <c r="AA33" s="363">
        <v>0</v>
      </c>
      <c r="AB33" s="361">
        <f t="shared" si="6"/>
        <v>1.1943055</v>
      </c>
      <c r="AC33" s="362">
        <f t="shared" si="7"/>
        <v>0.79179716</v>
      </c>
    </row>
    <row r="34" spans="1:29" x14ac:dyDescent="0.25">
      <c r="A34" s="335" t="s">
        <v>159</v>
      </c>
      <c r="B34" s="339" t="s">
        <v>158</v>
      </c>
      <c r="C34" s="337">
        <v>0.74923561999999999</v>
      </c>
      <c r="D34" s="337">
        <v>0</v>
      </c>
      <c r="E34" s="371">
        <f t="shared" si="15"/>
        <v>0.74923561999999999</v>
      </c>
      <c r="F34" s="399">
        <f t="shared" si="8"/>
        <v>0.74923561999999999</v>
      </c>
      <c r="G34" s="363">
        <v>0</v>
      </c>
      <c r="H34" s="363">
        <v>0</v>
      </c>
      <c r="I34" s="363">
        <v>0</v>
      </c>
      <c r="J34" s="363">
        <v>0</v>
      </c>
      <c r="K34" s="363">
        <v>0</v>
      </c>
      <c r="L34" s="363">
        <v>0.74923561999999999</v>
      </c>
      <c r="M34" s="363">
        <v>0.74923561999999999</v>
      </c>
      <c r="N34" s="363">
        <v>1.2990099900000001</v>
      </c>
      <c r="O34" s="363">
        <v>1.2990099900000001</v>
      </c>
      <c r="P34" s="363">
        <v>0</v>
      </c>
      <c r="Q34" s="363">
        <v>0</v>
      </c>
      <c r="R34" s="363">
        <v>0</v>
      </c>
      <c r="S34" s="363">
        <v>0</v>
      </c>
      <c r="T34" s="363">
        <v>0</v>
      </c>
      <c r="U34" s="363">
        <v>0</v>
      </c>
      <c r="V34" s="363">
        <v>0</v>
      </c>
      <c r="W34" s="363">
        <v>0</v>
      </c>
      <c r="X34" s="363">
        <v>0</v>
      </c>
      <c r="Y34" s="363">
        <v>0</v>
      </c>
      <c r="Z34" s="363">
        <v>0</v>
      </c>
      <c r="AA34" s="363">
        <v>0</v>
      </c>
      <c r="AB34" s="361">
        <f t="shared" si="6"/>
        <v>0.74923561999999999</v>
      </c>
      <c r="AC34" s="362">
        <f t="shared" si="7"/>
        <v>1.2990099900000001</v>
      </c>
    </row>
    <row r="35" spans="1:29" ht="31.5" x14ac:dyDescent="0.25">
      <c r="A35" s="335" t="s">
        <v>59</v>
      </c>
      <c r="B35" s="336" t="s">
        <v>157</v>
      </c>
      <c r="C35" s="337">
        <v>0</v>
      </c>
      <c r="D35" s="337">
        <v>0</v>
      </c>
      <c r="E35" s="371">
        <f t="shared" si="15"/>
        <v>0</v>
      </c>
      <c r="F35" s="399">
        <f t="shared" si="8"/>
        <v>0</v>
      </c>
      <c r="G35" s="361">
        <v>0</v>
      </c>
      <c r="H35" s="361">
        <v>0</v>
      </c>
      <c r="I35" s="361">
        <v>0</v>
      </c>
      <c r="J35" s="361">
        <v>0</v>
      </c>
      <c r="K35" s="361">
        <v>0</v>
      </c>
      <c r="L35" s="361">
        <v>0</v>
      </c>
      <c r="M35" s="361">
        <v>0</v>
      </c>
      <c r="N35" s="361">
        <v>0</v>
      </c>
      <c r="O35" s="361">
        <v>0</v>
      </c>
      <c r="P35" s="361">
        <v>0</v>
      </c>
      <c r="Q35" s="361">
        <v>0</v>
      </c>
      <c r="R35" s="361">
        <v>0</v>
      </c>
      <c r="S35" s="361">
        <v>0</v>
      </c>
      <c r="T35" s="361">
        <v>0</v>
      </c>
      <c r="U35" s="361">
        <v>0</v>
      </c>
      <c r="V35" s="365">
        <v>0</v>
      </c>
      <c r="W35" s="361">
        <v>0</v>
      </c>
      <c r="X35" s="361">
        <f t="shared" ref="X35:X36" si="16">C35</f>
        <v>0</v>
      </c>
      <c r="Y35" s="361">
        <v>0</v>
      </c>
      <c r="Z35" s="361">
        <v>0</v>
      </c>
      <c r="AA35" s="361">
        <v>0</v>
      </c>
      <c r="AB35" s="361">
        <f t="shared" si="6"/>
        <v>0</v>
      </c>
      <c r="AC35" s="362">
        <f t="shared" si="7"/>
        <v>0</v>
      </c>
    </row>
    <row r="36" spans="1:29" ht="31.5" x14ac:dyDescent="0.25">
      <c r="A36" s="338" t="s">
        <v>156</v>
      </c>
      <c r="B36" s="340" t="s">
        <v>155</v>
      </c>
      <c r="C36" s="341">
        <v>0</v>
      </c>
      <c r="D36" s="337">
        <v>0</v>
      </c>
      <c r="E36" s="371">
        <f t="shared" si="15"/>
        <v>0</v>
      </c>
      <c r="F36" s="399">
        <f t="shared" si="8"/>
        <v>0</v>
      </c>
      <c r="G36" s="363">
        <v>0</v>
      </c>
      <c r="H36" s="363">
        <v>0</v>
      </c>
      <c r="I36" s="363">
        <v>0</v>
      </c>
      <c r="J36" s="363">
        <v>0</v>
      </c>
      <c r="K36" s="363">
        <v>0</v>
      </c>
      <c r="L36" s="363">
        <v>0</v>
      </c>
      <c r="M36" s="363">
        <v>0</v>
      </c>
      <c r="N36" s="363">
        <v>0</v>
      </c>
      <c r="O36" s="363">
        <f t="shared" ref="O36:O51" si="17">N36</f>
        <v>0</v>
      </c>
      <c r="P36" s="363">
        <v>0</v>
      </c>
      <c r="Q36" s="363">
        <v>0</v>
      </c>
      <c r="R36" s="363">
        <v>0</v>
      </c>
      <c r="S36" s="363">
        <v>0</v>
      </c>
      <c r="T36" s="363">
        <v>0</v>
      </c>
      <c r="U36" s="363">
        <v>0</v>
      </c>
      <c r="V36" s="363">
        <v>0</v>
      </c>
      <c r="W36" s="363">
        <v>0</v>
      </c>
      <c r="X36" s="363">
        <f t="shared" si="16"/>
        <v>0</v>
      </c>
      <c r="Y36" s="363">
        <v>0</v>
      </c>
      <c r="Z36" s="363">
        <v>0</v>
      </c>
      <c r="AA36" s="363">
        <v>0</v>
      </c>
      <c r="AB36" s="361">
        <f t="shared" si="6"/>
        <v>0</v>
      </c>
      <c r="AC36" s="362">
        <f t="shared" si="7"/>
        <v>0</v>
      </c>
    </row>
    <row r="37" spans="1:29" x14ac:dyDescent="0.25">
      <c r="A37" s="338" t="s">
        <v>154</v>
      </c>
      <c r="B37" s="340" t="s">
        <v>144</v>
      </c>
      <c r="C37" s="341">
        <v>0.25</v>
      </c>
      <c r="D37" s="337">
        <v>0</v>
      </c>
      <c r="E37" s="371">
        <f t="shared" si="15"/>
        <v>0.25</v>
      </c>
      <c r="F37" s="399">
        <f t="shared" si="8"/>
        <v>0.25</v>
      </c>
      <c r="G37" s="363">
        <v>0</v>
      </c>
      <c r="H37" s="363">
        <v>0</v>
      </c>
      <c r="I37" s="363">
        <v>0</v>
      </c>
      <c r="J37" s="363">
        <v>0</v>
      </c>
      <c r="K37" s="363">
        <v>0</v>
      </c>
      <c r="L37" s="363">
        <v>0.25</v>
      </c>
      <c r="M37" s="363">
        <v>0.25</v>
      </c>
      <c r="N37" s="363">
        <v>0.25</v>
      </c>
      <c r="O37" s="363">
        <f t="shared" si="17"/>
        <v>0.25</v>
      </c>
      <c r="P37" s="363">
        <v>0</v>
      </c>
      <c r="Q37" s="363">
        <v>0</v>
      </c>
      <c r="R37" s="363">
        <v>0</v>
      </c>
      <c r="S37" s="363">
        <v>0</v>
      </c>
      <c r="T37" s="363">
        <v>0</v>
      </c>
      <c r="U37" s="363">
        <v>0</v>
      </c>
      <c r="V37" s="364">
        <v>0</v>
      </c>
      <c r="W37" s="363">
        <v>0</v>
      </c>
      <c r="X37" s="363">
        <v>0</v>
      </c>
      <c r="Y37" s="363">
        <v>0</v>
      </c>
      <c r="Z37" s="363">
        <v>0</v>
      </c>
      <c r="AA37" s="363">
        <v>0</v>
      </c>
      <c r="AB37" s="361">
        <f t="shared" si="6"/>
        <v>0.25</v>
      </c>
      <c r="AC37" s="362">
        <f t="shared" si="7"/>
        <v>0.25</v>
      </c>
    </row>
    <row r="38" spans="1:29" x14ac:dyDescent="0.25">
      <c r="A38" s="338" t="s">
        <v>153</v>
      </c>
      <c r="B38" s="340" t="s">
        <v>142</v>
      </c>
      <c r="C38" s="341">
        <v>0</v>
      </c>
      <c r="D38" s="337">
        <v>0</v>
      </c>
      <c r="E38" s="371">
        <f t="shared" si="15"/>
        <v>0</v>
      </c>
      <c r="F38" s="399">
        <f t="shared" si="8"/>
        <v>0</v>
      </c>
      <c r="G38" s="363">
        <v>0</v>
      </c>
      <c r="H38" s="363">
        <v>0</v>
      </c>
      <c r="I38" s="363">
        <v>0</v>
      </c>
      <c r="J38" s="363">
        <v>0</v>
      </c>
      <c r="K38" s="363">
        <v>0</v>
      </c>
      <c r="L38" s="363">
        <v>0</v>
      </c>
      <c r="M38" s="363">
        <v>0</v>
      </c>
      <c r="N38" s="363">
        <v>0</v>
      </c>
      <c r="O38" s="363">
        <f t="shared" si="17"/>
        <v>0</v>
      </c>
      <c r="P38" s="363">
        <v>0</v>
      </c>
      <c r="Q38" s="363">
        <v>0</v>
      </c>
      <c r="R38" s="363">
        <v>0</v>
      </c>
      <c r="S38" s="363">
        <v>0</v>
      </c>
      <c r="T38" s="363">
        <v>0</v>
      </c>
      <c r="U38" s="363">
        <v>0</v>
      </c>
      <c r="V38" s="363">
        <v>0</v>
      </c>
      <c r="W38" s="363">
        <v>0</v>
      </c>
      <c r="X38" s="363">
        <v>0</v>
      </c>
      <c r="Y38" s="363">
        <v>0</v>
      </c>
      <c r="Z38" s="363">
        <v>0</v>
      </c>
      <c r="AA38" s="363">
        <v>0</v>
      </c>
      <c r="AB38" s="361">
        <f t="shared" si="6"/>
        <v>0</v>
      </c>
      <c r="AC38" s="362">
        <f t="shared" si="7"/>
        <v>0</v>
      </c>
    </row>
    <row r="39" spans="1:29" ht="31.5" x14ac:dyDescent="0.25">
      <c r="A39" s="338" t="s">
        <v>152</v>
      </c>
      <c r="B39" s="339" t="s">
        <v>140</v>
      </c>
      <c r="C39" s="337">
        <v>2.0640000000000001</v>
      </c>
      <c r="D39" s="337">
        <v>0</v>
      </c>
      <c r="E39" s="371">
        <f t="shared" si="15"/>
        <v>2.0640000000000001</v>
      </c>
      <c r="F39" s="399">
        <f t="shared" si="8"/>
        <v>2.0640000000000001</v>
      </c>
      <c r="G39" s="363">
        <v>0</v>
      </c>
      <c r="H39" s="363">
        <v>0</v>
      </c>
      <c r="I39" s="363">
        <v>0</v>
      </c>
      <c r="J39" s="363">
        <v>0</v>
      </c>
      <c r="K39" s="363">
        <v>0</v>
      </c>
      <c r="L39" s="363">
        <v>2.0640000000000001</v>
      </c>
      <c r="M39" s="363">
        <v>2.0640000000000001</v>
      </c>
      <c r="N39" s="363">
        <v>1.5990000000000002</v>
      </c>
      <c r="O39" s="363">
        <f t="shared" si="17"/>
        <v>1.5990000000000002</v>
      </c>
      <c r="P39" s="363">
        <v>0</v>
      </c>
      <c r="Q39" s="363">
        <v>0</v>
      </c>
      <c r="R39" s="363">
        <v>0</v>
      </c>
      <c r="S39" s="363">
        <v>0</v>
      </c>
      <c r="T39" s="363">
        <v>0</v>
      </c>
      <c r="U39" s="363">
        <v>0</v>
      </c>
      <c r="V39" s="363">
        <v>0</v>
      </c>
      <c r="W39" s="363">
        <v>0</v>
      </c>
      <c r="X39" s="363">
        <v>0</v>
      </c>
      <c r="Y39" s="363">
        <v>0</v>
      </c>
      <c r="Z39" s="363">
        <v>0</v>
      </c>
      <c r="AA39" s="363">
        <v>0</v>
      </c>
      <c r="AB39" s="361">
        <f t="shared" si="6"/>
        <v>2.0640000000000001</v>
      </c>
      <c r="AC39" s="362">
        <f t="shared" si="7"/>
        <v>1.5990000000000002</v>
      </c>
    </row>
    <row r="40" spans="1:29" ht="31.5" x14ac:dyDescent="0.25">
      <c r="A40" s="338" t="s">
        <v>151</v>
      </c>
      <c r="B40" s="339" t="s">
        <v>138</v>
      </c>
      <c r="C40" s="337">
        <v>0</v>
      </c>
      <c r="D40" s="337">
        <v>0</v>
      </c>
      <c r="E40" s="371">
        <f t="shared" si="15"/>
        <v>0</v>
      </c>
      <c r="F40" s="399">
        <f t="shared" si="8"/>
        <v>0</v>
      </c>
      <c r="G40" s="363">
        <v>0</v>
      </c>
      <c r="H40" s="363">
        <v>0</v>
      </c>
      <c r="I40" s="363">
        <v>0</v>
      </c>
      <c r="J40" s="363">
        <v>0</v>
      </c>
      <c r="K40" s="363">
        <v>0</v>
      </c>
      <c r="L40" s="363">
        <v>0</v>
      </c>
      <c r="M40" s="363">
        <v>0</v>
      </c>
      <c r="N40" s="363">
        <v>0.38</v>
      </c>
      <c r="O40" s="363">
        <f t="shared" si="17"/>
        <v>0.38</v>
      </c>
      <c r="P40" s="363">
        <v>0</v>
      </c>
      <c r="Q40" s="363">
        <v>0</v>
      </c>
      <c r="R40" s="363">
        <v>0</v>
      </c>
      <c r="S40" s="363">
        <v>0</v>
      </c>
      <c r="T40" s="363">
        <v>0</v>
      </c>
      <c r="U40" s="363">
        <v>0</v>
      </c>
      <c r="V40" s="363">
        <v>0</v>
      </c>
      <c r="W40" s="363">
        <v>0</v>
      </c>
      <c r="X40" s="363">
        <v>0</v>
      </c>
      <c r="Y40" s="363">
        <v>0</v>
      </c>
      <c r="Z40" s="363">
        <v>0</v>
      </c>
      <c r="AA40" s="363">
        <v>0</v>
      </c>
      <c r="AB40" s="361">
        <f t="shared" si="6"/>
        <v>0</v>
      </c>
      <c r="AC40" s="362">
        <f t="shared" si="7"/>
        <v>0.38</v>
      </c>
    </row>
    <row r="41" spans="1:29" x14ac:dyDescent="0.25">
      <c r="A41" s="338" t="s">
        <v>150</v>
      </c>
      <c r="B41" s="339" t="s">
        <v>136</v>
      </c>
      <c r="C41" s="337">
        <v>0</v>
      </c>
      <c r="D41" s="337">
        <v>0</v>
      </c>
      <c r="E41" s="371">
        <f t="shared" si="15"/>
        <v>0</v>
      </c>
      <c r="F41" s="399">
        <f t="shared" si="8"/>
        <v>0</v>
      </c>
      <c r="G41" s="363">
        <v>0</v>
      </c>
      <c r="H41" s="363">
        <v>0</v>
      </c>
      <c r="I41" s="363">
        <v>0</v>
      </c>
      <c r="J41" s="363">
        <v>0</v>
      </c>
      <c r="K41" s="363">
        <v>0</v>
      </c>
      <c r="L41" s="363">
        <v>0</v>
      </c>
      <c r="M41" s="363">
        <v>0</v>
      </c>
      <c r="N41" s="363">
        <v>0</v>
      </c>
      <c r="O41" s="363">
        <f t="shared" si="17"/>
        <v>0</v>
      </c>
      <c r="P41" s="363">
        <v>0</v>
      </c>
      <c r="Q41" s="363">
        <v>0</v>
      </c>
      <c r="R41" s="363">
        <v>0</v>
      </c>
      <c r="S41" s="363">
        <v>0</v>
      </c>
      <c r="T41" s="363">
        <v>0</v>
      </c>
      <c r="U41" s="363">
        <v>0</v>
      </c>
      <c r="V41" s="363">
        <v>0</v>
      </c>
      <c r="W41" s="363">
        <v>0</v>
      </c>
      <c r="X41" s="363">
        <v>0</v>
      </c>
      <c r="Y41" s="363">
        <v>0</v>
      </c>
      <c r="Z41" s="363">
        <v>0</v>
      </c>
      <c r="AA41" s="363">
        <v>0</v>
      </c>
      <c r="AB41" s="361">
        <f t="shared" si="6"/>
        <v>0</v>
      </c>
      <c r="AC41" s="362">
        <f t="shared" si="7"/>
        <v>0</v>
      </c>
    </row>
    <row r="42" spans="1:29" ht="18.75" x14ac:dyDescent="0.25">
      <c r="A42" s="338" t="s">
        <v>149</v>
      </c>
      <c r="B42" s="340" t="s">
        <v>573</v>
      </c>
      <c r="C42" s="341">
        <v>0</v>
      </c>
      <c r="D42" s="337">
        <v>0</v>
      </c>
      <c r="E42" s="371">
        <f t="shared" si="15"/>
        <v>0</v>
      </c>
      <c r="F42" s="399">
        <f t="shared" si="8"/>
        <v>0</v>
      </c>
      <c r="G42" s="363">
        <v>0</v>
      </c>
      <c r="H42" s="363">
        <v>0</v>
      </c>
      <c r="I42" s="363">
        <v>0</v>
      </c>
      <c r="J42" s="363">
        <v>0</v>
      </c>
      <c r="K42" s="363">
        <v>0</v>
      </c>
      <c r="L42" s="363">
        <v>0</v>
      </c>
      <c r="M42" s="363">
        <v>0</v>
      </c>
      <c r="N42" s="363">
        <v>0</v>
      </c>
      <c r="O42" s="363">
        <f t="shared" si="17"/>
        <v>0</v>
      </c>
      <c r="P42" s="363">
        <v>0</v>
      </c>
      <c r="Q42" s="363">
        <v>0</v>
      </c>
      <c r="R42" s="363">
        <v>0</v>
      </c>
      <c r="S42" s="363">
        <v>0</v>
      </c>
      <c r="T42" s="363">
        <v>0</v>
      </c>
      <c r="U42" s="363">
        <v>0</v>
      </c>
      <c r="V42" s="363">
        <v>0</v>
      </c>
      <c r="W42" s="363">
        <v>0</v>
      </c>
      <c r="X42" s="363">
        <v>0</v>
      </c>
      <c r="Y42" s="363">
        <v>0</v>
      </c>
      <c r="Z42" s="363">
        <v>0</v>
      </c>
      <c r="AA42" s="363">
        <v>0</v>
      </c>
      <c r="AB42" s="361">
        <f t="shared" si="6"/>
        <v>0</v>
      </c>
      <c r="AC42" s="362">
        <f t="shared" si="7"/>
        <v>0</v>
      </c>
    </row>
    <row r="43" spans="1:29" x14ac:dyDescent="0.25">
      <c r="A43" s="335" t="s">
        <v>58</v>
      </c>
      <c r="B43" s="336" t="s">
        <v>148</v>
      </c>
      <c r="C43" s="337">
        <v>0</v>
      </c>
      <c r="D43" s="337">
        <v>0</v>
      </c>
      <c r="E43" s="371">
        <f t="shared" si="15"/>
        <v>0</v>
      </c>
      <c r="F43" s="399">
        <f t="shared" si="8"/>
        <v>0</v>
      </c>
      <c r="G43" s="361">
        <v>0</v>
      </c>
      <c r="H43" s="361">
        <v>0</v>
      </c>
      <c r="I43" s="361">
        <v>0</v>
      </c>
      <c r="J43" s="361">
        <v>0</v>
      </c>
      <c r="K43" s="361">
        <v>0</v>
      </c>
      <c r="L43" s="361">
        <v>0</v>
      </c>
      <c r="M43" s="361">
        <v>0</v>
      </c>
      <c r="N43" s="361">
        <v>0</v>
      </c>
      <c r="O43" s="361">
        <f t="shared" si="17"/>
        <v>0</v>
      </c>
      <c r="P43" s="361">
        <v>0</v>
      </c>
      <c r="Q43" s="361">
        <v>0</v>
      </c>
      <c r="R43" s="361">
        <v>0</v>
      </c>
      <c r="S43" s="361">
        <v>0</v>
      </c>
      <c r="T43" s="361">
        <v>0</v>
      </c>
      <c r="U43" s="361">
        <v>0</v>
      </c>
      <c r="V43" s="365">
        <v>0</v>
      </c>
      <c r="W43" s="361">
        <v>0</v>
      </c>
      <c r="X43" s="361">
        <v>0</v>
      </c>
      <c r="Y43" s="361">
        <v>0</v>
      </c>
      <c r="Z43" s="361">
        <v>0</v>
      </c>
      <c r="AA43" s="361">
        <v>0</v>
      </c>
      <c r="AB43" s="361">
        <f t="shared" si="6"/>
        <v>0</v>
      </c>
      <c r="AC43" s="362">
        <f t="shared" si="7"/>
        <v>0</v>
      </c>
    </row>
    <row r="44" spans="1:29" x14ac:dyDescent="0.25">
      <c r="A44" s="338" t="s">
        <v>147</v>
      </c>
      <c r="B44" s="339" t="s">
        <v>146</v>
      </c>
      <c r="C44" s="337">
        <f>C36</f>
        <v>0</v>
      </c>
      <c r="D44" s="337">
        <v>0</v>
      </c>
      <c r="E44" s="371">
        <f t="shared" si="15"/>
        <v>0</v>
      </c>
      <c r="F44" s="399">
        <f t="shared" si="8"/>
        <v>0</v>
      </c>
      <c r="G44" s="363">
        <v>0</v>
      </c>
      <c r="H44" s="363">
        <v>0</v>
      </c>
      <c r="I44" s="363">
        <v>0</v>
      </c>
      <c r="J44" s="363">
        <v>0</v>
      </c>
      <c r="K44" s="363">
        <v>0</v>
      </c>
      <c r="L44" s="363">
        <v>0</v>
      </c>
      <c r="M44" s="363">
        <v>0</v>
      </c>
      <c r="N44" s="363">
        <v>0</v>
      </c>
      <c r="O44" s="363">
        <f t="shared" si="17"/>
        <v>0</v>
      </c>
      <c r="P44" s="363">
        <v>0</v>
      </c>
      <c r="Q44" s="363">
        <v>0</v>
      </c>
      <c r="R44" s="363">
        <v>0</v>
      </c>
      <c r="S44" s="363">
        <v>0</v>
      </c>
      <c r="T44" s="363">
        <v>0</v>
      </c>
      <c r="U44" s="363">
        <v>0</v>
      </c>
      <c r="V44" s="363">
        <v>0</v>
      </c>
      <c r="W44" s="363">
        <v>0</v>
      </c>
      <c r="X44" s="363">
        <v>0</v>
      </c>
      <c r="Y44" s="363">
        <v>0</v>
      </c>
      <c r="Z44" s="363">
        <v>0</v>
      </c>
      <c r="AA44" s="363">
        <v>0</v>
      </c>
      <c r="AB44" s="361">
        <f t="shared" si="6"/>
        <v>0</v>
      </c>
      <c r="AC44" s="362">
        <f t="shared" si="7"/>
        <v>0</v>
      </c>
    </row>
    <row r="45" spans="1:29" x14ac:dyDescent="0.25">
      <c r="A45" s="338" t="s">
        <v>145</v>
      </c>
      <c r="B45" s="339" t="s">
        <v>144</v>
      </c>
      <c r="C45" s="337">
        <f t="shared" ref="C45:C50" si="18">C37</f>
        <v>0.25</v>
      </c>
      <c r="D45" s="337">
        <v>0</v>
      </c>
      <c r="E45" s="371">
        <f t="shared" si="15"/>
        <v>0.25</v>
      </c>
      <c r="F45" s="399">
        <f t="shared" si="8"/>
        <v>0.25</v>
      </c>
      <c r="G45" s="363">
        <v>0</v>
      </c>
      <c r="H45" s="363">
        <v>0</v>
      </c>
      <c r="I45" s="363">
        <v>0</v>
      </c>
      <c r="J45" s="363">
        <v>0</v>
      </c>
      <c r="K45" s="363">
        <v>0</v>
      </c>
      <c r="L45" s="363">
        <v>0.25</v>
      </c>
      <c r="M45" s="363">
        <v>0.25</v>
      </c>
      <c r="N45" s="363">
        <f>N37</f>
        <v>0.25</v>
      </c>
      <c r="O45" s="363">
        <f t="shared" si="17"/>
        <v>0.25</v>
      </c>
      <c r="P45" s="363">
        <v>0</v>
      </c>
      <c r="Q45" s="363">
        <v>0</v>
      </c>
      <c r="R45" s="363">
        <v>0</v>
      </c>
      <c r="S45" s="363">
        <v>0</v>
      </c>
      <c r="T45" s="363">
        <v>0</v>
      </c>
      <c r="U45" s="363">
        <v>0</v>
      </c>
      <c r="V45" s="364">
        <v>0</v>
      </c>
      <c r="W45" s="363">
        <v>0</v>
      </c>
      <c r="X45" s="363">
        <v>0</v>
      </c>
      <c r="Y45" s="363">
        <v>0</v>
      </c>
      <c r="Z45" s="363">
        <v>0</v>
      </c>
      <c r="AA45" s="363">
        <v>0</v>
      </c>
      <c r="AB45" s="361">
        <f t="shared" si="6"/>
        <v>0.25</v>
      </c>
      <c r="AC45" s="362">
        <f t="shared" si="7"/>
        <v>0.25</v>
      </c>
    </row>
    <row r="46" spans="1:29" x14ac:dyDescent="0.25">
      <c r="A46" s="338" t="s">
        <v>143</v>
      </c>
      <c r="B46" s="339" t="s">
        <v>142</v>
      </c>
      <c r="C46" s="337">
        <f t="shared" si="18"/>
        <v>0</v>
      </c>
      <c r="D46" s="337">
        <v>0</v>
      </c>
      <c r="E46" s="371">
        <f t="shared" si="15"/>
        <v>0</v>
      </c>
      <c r="F46" s="399">
        <f t="shared" si="8"/>
        <v>0</v>
      </c>
      <c r="G46" s="363">
        <v>0</v>
      </c>
      <c r="H46" s="363">
        <v>0</v>
      </c>
      <c r="I46" s="363">
        <v>0</v>
      </c>
      <c r="J46" s="363">
        <v>0</v>
      </c>
      <c r="K46" s="363">
        <v>0</v>
      </c>
      <c r="L46" s="363">
        <v>0</v>
      </c>
      <c r="M46" s="363">
        <v>0</v>
      </c>
      <c r="N46" s="363">
        <v>0</v>
      </c>
      <c r="O46" s="363">
        <f t="shared" si="17"/>
        <v>0</v>
      </c>
      <c r="P46" s="363">
        <v>0</v>
      </c>
      <c r="Q46" s="363">
        <v>0</v>
      </c>
      <c r="R46" s="363">
        <v>0</v>
      </c>
      <c r="S46" s="363">
        <v>0</v>
      </c>
      <c r="T46" s="363">
        <v>0</v>
      </c>
      <c r="U46" s="363">
        <v>0</v>
      </c>
      <c r="V46" s="363">
        <v>0</v>
      </c>
      <c r="W46" s="363">
        <v>0</v>
      </c>
      <c r="X46" s="363">
        <v>0</v>
      </c>
      <c r="Y46" s="363">
        <v>0</v>
      </c>
      <c r="Z46" s="363">
        <v>0</v>
      </c>
      <c r="AA46" s="363">
        <v>0</v>
      </c>
      <c r="AB46" s="361">
        <f t="shared" si="6"/>
        <v>0</v>
      </c>
      <c r="AC46" s="362">
        <f t="shared" si="7"/>
        <v>0</v>
      </c>
    </row>
    <row r="47" spans="1:29" ht="31.5" x14ac:dyDescent="0.25">
      <c r="A47" s="338" t="s">
        <v>141</v>
      </c>
      <c r="B47" s="339" t="s">
        <v>140</v>
      </c>
      <c r="C47" s="337">
        <f t="shared" si="18"/>
        <v>2.0640000000000001</v>
      </c>
      <c r="D47" s="337">
        <v>0</v>
      </c>
      <c r="E47" s="371">
        <f t="shared" si="15"/>
        <v>2.0640000000000001</v>
      </c>
      <c r="F47" s="399">
        <f t="shared" si="8"/>
        <v>2.0640000000000001</v>
      </c>
      <c r="G47" s="363">
        <v>0</v>
      </c>
      <c r="H47" s="363">
        <v>0</v>
      </c>
      <c r="I47" s="363">
        <v>0</v>
      </c>
      <c r="J47" s="363">
        <v>0</v>
      </c>
      <c r="K47" s="363">
        <v>0</v>
      </c>
      <c r="L47" s="363">
        <v>2.0640000000000001</v>
      </c>
      <c r="M47" s="363">
        <v>2.0640000000000001</v>
      </c>
      <c r="N47" s="363">
        <f t="shared" ref="N47:N49" si="19">N39</f>
        <v>1.5990000000000002</v>
      </c>
      <c r="O47" s="363">
        <f t="shared" si="17"/>
        <v>1.5990000000000002</v>
      </c>
      <c r="P47" s="363">
        <v>0</v>
      </c>
      <c r="Q47" s="363">
        <v>0</v>
      </c>
      <c r="R47" s="363">
        <v>0</v>
      </c>
      <c r="S47" s="363">
        <v>0</v>
      </c>
      <c r="T47" s="363">
        <v>0</v>
      </c>
      <c r="U47" s="363">
        <v>0</v>
      </c>
      <c r="V47" s="363">
        <v>0</v>
      </c>
      <c r="W47" s="363">
        <v>0</v>
      </c>
      <c r="X47" s="363">
        <v>0</v>
      </c>
      <c r="Y47" s="363">
        <v>0</v>
      </c>
      <c r="Z47" s="363">
        <v>0</v>
      </c>
      <c r="AA47" s="363">
        <v>0</v>
      </c>
      <c r="AB47" s="361">
        <f t="shared" si="6"/>
        <v>2.0640000000000001</v>
      </c>
      <c r="AC47" s="362">
        <f t="shared" si="7"/>
        <v>1.5990000000000002</v>
      </c>
    </row>
    <row r="48" spans="1:29" ht="31.5" x14ac:dyDescent="0.25">
      <c r="A48" s="338" t="s">
        <v>139</v>
      </c>
      <c r="B48" s="339" t="s">
        <v>138</v>
      </c>
      <c r="C48" s="337">
        <f t="shared" si="18"/>
        <v>0</v>
      </c>
      <c r="D48" s="337">
        <v>0</v>
      </c>
      <c r="E48" s="371">
        <f t="shared" si="15"/>
        <v>0</v>
      </c>
      <c r="F48" s="399">
        <f t="shared" si="8"/>
        <v>0</v>
      </c>
      <c r="G48" s="363">
        <v>0</v>
      </c>
      <c r="H48" s="363">
        <v>0</v>
      </c>
      <c r="I48" s="363">
        <v>0</v>
      </c>
      <c r="J48" s="363">
        <v>0</v>
      </c>
      <c r="K48" s="363">
        <v>0</v>
      </c>
      <c r="L48" s="363">
        <v>0</v>
      </c>
      <c r="M48" s="363">
        <v>0</v>
      </c>
      <c r="N48" s="363">
        <f t="shared" si="19"/>
        <v>0.38</v>
      </c>
      <c r="O48" s="363">
        <f t="shared" si="17"/>
        <v>0.38</v>
      </c>
      <c r="P48" s="363">
        <v>0</v>
      </c>
      <c r="Q48" s="363">
        <v>0</v>
      </c>
      <c r="R48" s="363">
        <v>0</v>
      </c>
      <c r="S48" s="363">
        <v>0</v>
      </c>
      <c r="T48" s="363">
        <v>0</v>
      </c>
      <c r="U48" s="363">
        <v>0</v>
      </c>
      <c r="V48" s="363">
        <v>0</v>
      </c>
      <c r="W48" s="363">
        <v>0</v>
      </c>
      <c r="X48" s="363">
        <v>0</v>
      </c>
      <c r="Y48" s="363">
        <v>0</v>
      </c>
      <c r="Z48" s="363">
        <v>0</v>
      </c>
      <c r="AA48" s="363">
        <v>0</v>
      </c>
      <c r="AB48" s="361">
        <f t="shared" si="6"/>
        <v>0</v>
      </c>
      <c r="AC48" s="362">
        <f t="shared" si="7"/>
        <v>0.38</v>
      </c>
    </row>
    <row r="49" spans="1:29" x14ac:dyDescent="0.25">
      <c r="A49" s="338" t="s">
        <v>137</v>
      </c>
      <c r="B49" s="339" t="s">
        <v>136</v>
      </c>
      <c r="C49" s="337">
        <f t="shared" si="18"/>
        <v>0</v>
      </c>
      <c r="D49" s="337">
        <v>0</v>
      </c>
      <c r="E49" s="371">
        <f t="shared" si="15"/>
        <v>0</v>
      </c>
      <c r="F49" s="399">
        <f t="shared" si="8"/>
        <v>0</v>
      </c>
      <c r="G49" s="363">
        <v>0</v>
      </c>
      <c r="H49" s="363">
        <v>0</v>
      </c>
      <c r="I49" s="363">
        <v>0</v>
      </c>
      <c r="J49" s="363">
        <v>0</v>
      </c>
      <c r="K49" s="363">
        <v>0</v>
      </c>
      <c r="L49" s="363">
        <v>0</v>
      </c>
      <c r="M49" s="363">
        <v>0</v>
      </c>
      <c r="N49" s="363">
        <f t="shared" si="19"/>
        <v>0</v>
      </c>
      <c r="O49" s="363">
        <f t="shared" si="17"/>
        <v>0</v>
      </c>
      <c r="P49" s="363">
        <v>0</v>
      </c>
      <c r="Q49" s="363">
        <v>0</v>
      </c>
      <c r="R49" s="363">
        <v>0</v>
      </c>
      <c r="S49" s="363">
        <v>0</v>
      </c>
      <c r="T49" s="363">
        <v>0</v>
      </c>
      <c r="U49" s="363">
        <v>0</v>
      </c>
      <c r="V49" s="363">
        <v>0</v>
      </c>
      <c r="W49" s="363">
        <v>0</v>
      </c>
      <c r="X49" s="363">
        <v>0</v>
      </c>
      <c r="Y49" s="363">
        <v>0</v>
      </c>
      <c r="Z49" s="363">
        <v>0</v>
      </c>
      <c r="AA49" s="363">
        <v>0</v>
      </c>
      <c r="AB49" s="361">
        <f t="shared" si="6"/>
        <v>0</v>
      </c>
      <c r="AC49" s="362">
        <f t="shared" si="7"/>
        <v>0</v>
      </c>
    </row>
    <row r="50" spans="1:29" ht="18.75" x14ac:dyDescent="0.25">
      <c r="A50" s="338" t="s">
        <v>135</v>
      </c>
      <c r="B50" s="340" t="s">
        <v>573</v>
      </c>
      <c r="C50" s="337">
        <f t="shared" si="18"/>
        <v>0</v>
      </c>
      <c r="D50" s="337">
        <v>0</v>
      </c>
      <c r="E50" s="371">
        <f t="shared" si="15"/>
        <v>0</v>
      </c>
      <c r="F50" s="399">
        <f t="shared" si="8"/>
        <v>0</v>
      </c>
      <c r="G50" s="363">
        <v>0</v>
      </c>
      <c r="H50" s="363">
        <v>0</v>
      </c>
      <c r="I50" s="363">
        <v>0</v>
      </c>
      <c r="J50" s="363">
        <v>0</v>
      </c>
      <c r="K50" s="363">
        <v>0</v>
      </c>
      <c r="L50" s="363">
        <v>0</v>
      </c>
      <c r="M50" s="363">
        <v>0</v>
      </c>
      <c r="N50" s="363">
        <v>0</v>
      </c>
      <c r="O50" s="363">
        <f t="shared" si="17"/>
        <v>0</v>
      </c>
      <c r="P50" s="363">
        <v>0</v>
      </c>
      <c r="Q50" s="363">
        <v>0</v>
      </c>
      <c r="R50" s="363">
        <v>0</v>
      </c>
      <c r="S50" s="363">
        <v>0</v>
      </c>
      <c r="T50" s="363">
        <v>0</v>
      </c>
      <c r="U50" s="363">
        <v>0</v>
      </c>
      <c r="V50" s="363">
        <v>0</v>
      </c>
      <c r="W50" s="363">
        <v>0</v>
      </c>
      <c r="X50" s="363">
        <v>0</v>
      </c>
      <c r="Y50" s="363">
        <v>0</v>
      </c>
      <c r="Z50" s="363">
        <v>0</v>
      </c>
      <c r="AA50" s="363">
        <v>0</v>
      </c>
      <c r="AB50" s="361">
        <f t="shared" si="6"/>
        <v>0</v>
      </c>
      <c r="AC50" s="362">
        <f t="shared" si="7"/>
        <v>0</v>
      </c>
    </row>
    <row r="51" spans="1:29" ht="35.25" customHeight="1" x14ac:dyDescent="0.25">
      <c r="A51" s="335" t="s">
        <v>56</v>
      </c>
      <c r="B51" s="336" t="s">
        <v>134</v>
      </c>
      <c r="C51" s="337">
        <v>0</v>
      </c>
      <c r="D51" s="337">
        <v>0</v>
      </c>
      <c r="E51" s="371">
        <f t="shared" si="15"/>
        <v>0</v>
      </c>
      <c r="F51" s="399">
        <f t="shared" si="8"/>
        <v>0</v>
      </c>
      <c r="G51" s="361">
        <v>0</v>
      </c>
      <c r="H51" s="361">
        <v>0</v>
      </c>
      <c r="I51" s="361">
        <v>0</v>
      </c>
      <c r="J51" s="361">
        <v>0</v>
      </c>
      <c r="K51" s="361">
        <v>0</v>
      </c>
      <c r="L51" s="361">
        <v>0</v>
      </c>
      <c r="M51" s="361">
        <v>0</v>
      </c>
      <c r="N51" s="361">
        <v>0</v>
      </c>
      <c r="O51" s="361">
        <f t="shared" si="17"/>
        <v>0</v>
      </c>
      <c r="P51" s="361">
        <v>0</v>
      </c>
      <c r="Q51" s="361">
        <v>0</v>
      </c>
      <c r="R51" s="361">
        <v>0</v>
      </c>
      <c r="S51" s="361">
        <v>0</v>
      </c>
      <c r="T51" s="361">
        <v>0</v>
      </c>
      <c r="U51" s="361">
        <v>0</v>
      </c>
      <c r="V51" s="365">
        <v>0</v>
      </c>
      <c r="W51" s="361">
        <v>0</v>
      </c>
      <c r="X51" s="361">
        <v>0</v>
      </c>
      <c r="Y51" s="361">
        <v>0</v>
      </c>
      <c r="Z51" s="361">
        <v>0</v>
      </c>
      <c r="AA51" s="361">
        <v>0</v>
      </c>
      <c r="AB51" s="361">
        <f t="shared" si="6"/>
        <v>0</v>
      </c>
      <c r="AC51" s="362">
        <f t="shared" si="7"/>
        <v>0</v>
      </c>
    </row>
    <row r="52" spans="1:29" x14ac:dyDescent="0.25">
      <c r="A52" s="338" t="s">
        <v>133</v>
      </c>
      <c r="B52" s="339" t="s">
        <v>132</v>
      </c>
      <c r="C52" s="337">
        <f>C30</f>
        <v>7.9548411800000007</v>
      </c>
      <c r="D52" s="337">
        <v>0</v>
      </c>
      <c r="E52" s="371">
        <f t="shared" si="15"/>
        <v>7.9548411800000007</v>
      </c>
      <c r="F52" s="399">
        <f t="shared" si="8"/>
        <v>7.9548411800000007</v>
      </c>
      <c r="G52" s="363">
        <v>0</v>
      </c>
      <c r="H52" s="363">
        <v>0</v>
      </c>
      <c r="I52" s="363">
        <v>0</v>
      </c>
      <c r="J52" s="363">
        <v>0</v>
      </c>
      <c r="K52" s="363">
        <v>0</v>
      </c>
      <c r="L52" s="363">
        <v>7.9548411800000007</v>
      </c>
      <c r="M52" s="363">
        <v>7.9548411800000007</v>
      </c>
      <c r="N52" s="363">
        <f>8.84952873+0.6288253</f>
        <v>9.4783540300000002</v>
      </c>
      <c r="O52" s="363">
        <f>N52</f>
        <v>9.4783540300000002</v>
      </c>
      <c r="P52" s="363">
        <v>0</v>
      </c>
      <c r="Q52" s="363">
        <v>0</v>
      </c>
      <c r="R52" s="363">
        <v>0</v>
      </c>
      <c r="S52" s="363">
        <v>0</v>
      </c>
      <c r="T52" s="363">
        <v>0</v>
      </c>
      <c r="U52" s="363">
        <v>0</v>
      </c>
      <c r="V52" s="363">
        <v>0</v>
      </c>
      <c r="W52" s="363">
        <v>0</v>
      </c>
      <c r="X52" s="363">
        <v>0</v>
      </c>
      <c r="Y52" s="363">
        <v>0</v>
      </c>
      <c r="Z52" s="363">
        <v>0</v>
      </c>
      <c r="AA52" s="363">
        <v>0</v>
      </c>
      <c r="AB52" s="361">
        <f t="shared" si="6"/>
        <v>7.9548411800000007</v>
      </c>
      <c r="AC52" s="362">
        <f t="shared" si="7"/>
        <v>9.4783540300000002</v>
      </c>
    </row>
    <row r="53" spans="1:29" x14ac:dyDescent="0.25">
      <c r="A53" s="338" t="s">
        <v>131</v>
      </c>
      <c r="B53" s="339" t="s">
        <v>125</v>
      </c>
      <c r="C53" s="337">
        <v>0</v>
      </c>
      <c r="D53" s="337">
        <v>0</v>
      </c>
      <c r="E53" s="371">
        <f t="shared" si="15"/>
        <v>0</v>
      </c>
      <c r="F53" s="399">
        <f t="shared" si="8"/>
        <v>0</v>
      </c>
      <c r="G53" s="363">
        <v>0</v>
      </c>
      <c r="H53" s="363">
        <v>0</v>
      </c>
      <c r="I53" s="363">
        <v>0</v>
      </c>
      <c r="J53" s="363">
        <v>0</v>
      </c>
      <c r="K53" s="363">
        <v>0</v>
      </c>
      <c r="L53" s="363">
        <v>0</v>
      </c>
      <c r="M53" s="363">
        <v>0</v>
      </c>
      <c r="N53" s="363">
        <v>0</v>
      </c>
      <c r="O53" s="363">
        <f t="shared" ref="O53:O64" si="20">N53</f>
        <v>0</v>
      </c>
      <c r="P53" s="363">
        <v>0</v>
      </c>
      <c r="Q53" s="363">
        <v>0</v>
      </c>
      <c r="R53" s="363">
        <v>0</v>
      </c>
      <c r="S53" s="363">
        <v>0</v>
      </c>
      <c r="T53" s="363">
        <v>0</v>
      </c>
      <c r="U53" s="363">
        <v>0</v>
      </c>
      <c r="V53" s="364">
        <v>0</v>
      </c>
      <c r="W53" s="363">
        <v>0</v>
      </c>
      <c r="X53" s="363">
        <v>0</v>
      </c>
      <c r="Y53" s="363">
        <v>0</v>
      </c>
      <c r="Z53" s="363">
        <v>0</v>
      </c>
      <c r="AA53" s="363">
        <v>0</v>
      </c>
      <c r="AB53" s="361">
        <f t="shared" si="6"/>
        <v>0</v>
      </c>
      <c r="AC53" s="362">
        <f t="shared" si="7"/>
        <v>0</v>
      </c>
    </row>
    <row r="54" spans="1:29" x14ac:dyDescent="0.25">
      <c r="A54" s="338" t="s">
        <v>130</v>
      </c>
      <c r="B54" s="340" t="s">
        <v>124</v>
      </c>
      <c r="C54" s="341">
        <f>C45</f>
        <v>0.25</v>
      </c>
      <c r="D54" s="337">
        <v>0</v>
      </c>
      <c r="E54" s="371">
        <f t="shared" si="15"/>
        <v>0.25</v>
      </c>
      <c r="F54" s="399">
        <f t="shared" si="8"/>
        <v>0.25</v>
      </c>
      <c r="G54" s="363">
        <v>0</v>
      </c>
      <c r="H54" s="363">
        <v>0</v>
      </c>
      <c r="I54" s="363">
        <v>0</v>
      </c>
      <c r="J54" s="363">
        <v>0</v>
      </c>
      <c r="K54" s="363">
        <v>0</v>
      </c>
      <c r="L54" s="363">
        <v>0.25</v>
      </c>
      <c r="M54" s="363">
        <v>0.25</v>
      </c>
      <c r="N54" s="363">
        <f>N45</f>
        <v>0.25</v>
      </c>
      <c r="O54" s="363">
        <f t="shared" si="20"/>
        <v>0.25</v>
      </c>
      <c r="P54" s="363">
        <v>0</v>
      </c>
      <c r="Q54" s="363">
        <v>0</v>
      </c>
      <c r="R54" s="363">
        <v>0</v>
      </c>
      <c r="S54" s="363">
        <v>0</v>
      </c>
      <c r="T54" s="363">
        <v>0</v>
      </c>
      <c r="U54" s="363">
        <v>0</v>
      </c>
      <c r="V54" s="363">
        <v>0</v>
      </c>
      <c r="W54" s="363">
        <v>0</v>
      </c>
      <c r="X54" s="363">
        <v>0</v>
      </c>
      <c r="Y54" s="363">
        <v>0</v>
      </c>
      <c r="Z54" s="363">
        <v>0</v>
      </c>
      <c r="AA54" s="363">
        <v>0</v>
      </c>
      <c r="AB54" s="361">
        <f t="shared" si="6"/>
        <v>0.25</v>
      </c>
      <c r="AC54" s="362">
        <f t="shared" si="7"/>
        <v>0.25</v>
      </c>
    </row>
    <row r="55" spans="1:29" x14ac:dyDescent="0.25">
      <c r="A55" s="338" t="s">
        <v>129</v>
      </c>
      <c r="B55" s="340" t="s">
        <v>123</v>
      </c>
      <c r="C55" s="341">
        <v>0</v>
      </c>
      <c r="D55" s="337">
        <v>0</v>
      </c>
      <c r="E55" s="371">
        <f t="shared" si="15"/>
        <v>0</v>
      </c>
      <c r="F55" s="399">
        <f t="shared" si="8"/>
        <v>0</v>
      </c>
      <c r="G55" s="363">
        <v>0</v>
      </c>
      <c r="H55" s="363">
        <v>0</v>
      </c>
      <c r="I55" s="363">
        <v>0</v>
      </c>
      <c r="J55" s="363">
        <v>0</v>
      </c>
      <c r="K55" s="363">
        <v>0</v>
      </c>
      <c r="L55" s="363">
        <v>0</v>
      </c>
      <c r="M55" s="363">
        <v>0</v>
      </c>
      <c r="N55" s="363">
        <v>0</v>
      </c>
      <c r="O55" s="363">
        <f t="shared" si="20"/>
        <v>0</v>
      </c>
      <c r="P55" s="363">
        <v>0</v>
      </c>
      <c r="Q55" s="363">
        <v>0</v>
      </c>
      <c r="R55" s="363">
        <v>0</v>
      </c>
      <c r="S55" s="363">
        <v>0</v>
      </c>
      <c r="T55" s="363">
        <v>0</v>
      </c>
      <c r="U55" s="363">
        <v>0</v>
      </c>
      <c r="V55" s="363">
        <v>0</v>
      </c>
      <c r="W55" s="363">
        <v>0</v>
      </c>
      <c r="X55" s="363">
        <v>0</v>
      </c>
      <c r="Y55" s="363">
        <v>0</v>
      </c>
      <c r="Z55" s="363">
        <v>0</v>
      </c>
      <c r="AA55" s="363">
        <v>0</v>
      </c>
      <c r="AB55" s="361">
        <f t="shared" si="6"/>
        <v>0</v>
      </c>
      <c r="AC55" s="362">
        <f t="shared" si="7"/>
        <v>0</v>
      </c>
    </row>
    <row r="56" spans="1:29" x14ac:dyDescent="0.25">
      <c r="A56" s="338" t="s">
        <v>128</v>
      </c>
      <c r="B56" s="340" t="s">
        <v>122</v>
      </c>
      <c r="C56" s="341">
        <f>C47+C48+C49</f>
        <v>2.0640000000000001</v>
      </c>
      <c r="D56" s="337">
        <v>0</v>
      </c>
      <c r="E56" s="371">
        <f t="shared" si="15"/>
        <v>2.0640000000000001</v>
      </c>
      <c r="F56" s="399">
        <f t="shared" si="8"/>
        <v>2.0640000000000001</v>
      </c>
      <c r="G56" s="363">
        <v>0</v>
      </c>
      <c r="H56" s="363">
        <v>0</v>
      </c>
      <c r="I56" s="363">
        <v>0</v>
      </c>
      <c r="J56" s="363">
        <v>0</v>
      </c>
      <c r="K56" s="363">
        <v>0</v>
      </c>
      <c r="L56" s="363">
        <v>2.0640000000000001</v>
      </c>
      <c r="M56" s="363">
        <v>2.0640000000000001</v>
      </c>
      <c r="N56" s="363">
        <f>N47+N48+N49</f>
        <v>1.9790000000000001</v>
      </c>
      <c r="O56" s="363">
        <f t="shared" si="20"/>
        <v>1.9790000000000001</v>
      </c>
      <c r="P56" s="363">
        <v>0</v>
      </c>
      <c r="Q56" s="363">
        <v>0</v>
      </c>
      <c r="R56" s="363">
        <v>0</v>
      </c>
      <c r="S56" s="363">
        <v>0</v>
      </c>
      <c r="T56" s="363">
        <v>0</v>
      </c>
      <c r="U56" s="363">
        <v>0</v>
      </c>
      <c r="V56" s="363">
        <v>0</v>
      </c>
      <c r="W56" s="363">
        <v>0</v>
      </c>
      <c r="X56" s="363">
        <v>0</v>
      </c>
      <c r="Y56" s="363">
        <v>0</v>
      </c>
      <c r="Z56" s="363">
        <v>0</v>
      </c>
      <c r="AA56" s="363">
        <v>0</v>
      </c>
      <c r="AB56" s="361">
        <f t="shared" si="6"/>
        <v>2.0640000000000001</v>
      </c>
      <c r="AC56" s="362">
        <f t="shared" si="7"/>
        <v>1.9790000000000001</v>
      </c>
    </row>
    <row r="57" spans="1:29" ht="18.75" x14ac:dyDescent="0.25">
      <c r="A57" s="338" t="s">
        <v>127</v>
      </c>
      <c r="B57" s="340" t="s">
        <v>573</v>
      </c>
      <c r="C57" s="341">
        <f>C50</f>
        <v>0</v>
      </c>
      <c r="D57" s="337">
        <v>0</v>
      </c>
      <c r="E57" s="371">
        <f t="shared" si="15"/>
        <v>0</v>
      </c>
      <c r="F57" s="399">
        <f t="shared" si="8"/>
        <v>0</v>
      </c>
      <c r="G57" s="363">
        <v>0</v>
      </c>
      <c r="H57" s="363">
        <v>0</v>
      </c>
      <c r="I57" s="363">
        <v>0</v>
      </c>
      <c r="J57" s="363">
        <v>0</v>
      </c>
      <c r="K57" s="363">
        <v>0</v>
      </c>
      <c r="L57" s="363">
        <v>0</v>
      </c>
      <c r="M57" s="363">
        <v>0</v>
      </c>
      <c r="N57" s="363">
        <v>0</v>
      </c>
      <c r="O57" s="363">
        <f t="shared" si="20"/>
        <v>0</v>
      </c>
      <c r="P57" s="363">
        <v>0</v>
      </c>
      <c r="Q57" s="363">
        <v>0</v>
      </c>
      <c r="R57" s="363">
        <v>0</v>
      </c>
      <c r="S57" s="363">
        <v>0</v>
      </c>
      <c r="T57" s="363">
        <v>0</v>
      </c>
      <c r="U57" s="363">
        <v>0</v>
      </c>
      <c r="V57" s="363">
        <v>0</v>
      </c>
      <c r="W57" s="363">
        <v>0</v>
      </c>
      <c r="X57" s="363">
        <v>0</v>
      </c>
      <c r="Y57" s="363">
        <v>0</v>
      </c>
      <c r="Z57" s="363">
        <v>0</v>
      </c>
      <c r="AA57" s="363">
        <v>0</v>
      </c>
      <c r="AB57" s="361">
        <f t="shared" si="6"/>
        <v>0</v>
      </c>
      <c r="AC57" s="362">
        <f t="shared" si="7"/>
        <v>0</v>
      </c>
    </row>
    <row r="58" spans="1:29" ht="36.75" customHeight="1" x14ac:dyDescent="0.25">
      <c r="A58" s="335" t="s">
        <v>55</v>
      </c>
      <c r="B58" s="342" t="s">
        <v>224</v>
      </c>
      <c r="C58" s="341">
        <v>0</v>
      </c>
      <c r="D58" s="337">
        <v>0</v>
      </c>
      <c r="E58" s="371">
        <f t="shared" si="15"/>
        <v>0</v>
      </c>
      <c r="F58" s="399">
        <f t="shared" si="8"/>
        <v>0</v>
      </c>
      <c r="G58" s="361">
        <v>0</v>
      </c>
      <c r="H58" s="361">
        <v>0</v>
      </c>
      <c r="I58" s="361">
        <v>0</v>
      </c>
      <c r="J58" s="361">
        <v>0</v>
      </c>
      <c r="K58" s="361">
        <v>0</v>
      </c>
      <c r="L58" s="361">
        <v>0</v>
      </c>
      <c r="M58" s="361">
        <v>0</v>
      </c>
      <c r="N58" s="361">
        <v>0</v>
      </c>
      <c r="O58" s="361">
        <f t="shared" si="20"/>
        <v>0</v>
      </c>
      <c r="P58" s="361">
        <v>0</v>
      </c>
      <c r="Q58" s="361">
        <v>0</v>
      </c>
      <c r="R58" s="361">
        <v>0</v>
      </c>
      <c r="S58" s="361">
        <v>0</v>
      </c>
      <c r="T58" s="361">
        <v>0</v>
      </c>
      <c r="U58" s="361">
        <v>0</v>
      </c>
      <c r="V58" s="365">
        <v>0</v>
      </c>
      <c r="W58" s="361">
        <v>0</v>
      </c>
      <c r="X58" s="361">
        <v>0</v>
      </c>
      <c r="Y58" s="361">
        <v>0</v>
      </c>
      <c r="Z58" s="361">
        <v>0</v>
      </c>
      <c r="AA58" s="361">
        <v>0</v>
      </c>
      <c r="AB58" s="361">
        <f t="shared" si="6"/>
        <v>0</v>
      </c>
      <c r="AC58" s="362">
        <f t="shared" si="7"/>
        <v>0</v>
      </c>
    </row>
    <row r="59" spans="1:29" x14ac:dyDescent="0.25">
      <c r="A59" s="335" t="s">
        <v>53</v>
      </c>
      <c r="B59" s="336" t="s">
        <v>126</v>
      </c>
      <c r="C59" s="337">
        <v>0</v>
      </c>
      <c r="D59" s="337">
        <v>0</v>
      </c>
      <c r="E59" s="371">
        <f t="shared" si="15"/>
        <v>0</v>
      </c>
      <c r="F59" s="399">
        <f t="shared" si="8"/>
        <v>0</v>
      </c>
      <c r="G59" s="361">
        <v>0</v>
      </c>
      <c r="H59" s="361">
        <v>0</v>
      </c>
      <c r="I59" s="361">
        <v>0</v>
      </c>
      <c r="J59" s="361">
        <v>0</v>
      </c>
      <c r="K59" s="361">
        <v>0</v>
      </c>
      <c r="L59" s="361">
        <v>0</v>
      </c>
      <c r="M59" s="361">
        <v>0</v>
      </c>
      <c r="N59" s="361">
        <v>0</v>
      </c>
      <c r="O59" s="361">
        <f t="shared" si="20"/>
        <v>0</v>
      </c>
      <c r="P59" s="361">
        <v>0</v>
      </c>
      <c r="Q59" s="361">
        <v>0</v>
      </c>
      <c r="R59" s="361">
        <v>0</v>
      </c>
      <c r="S59" s="361">
        <v>0</v>
      </c>
      <c r="T59" s="361">
        <v>0</v>
      </c>
      <c r="U59" s="361">
        <v>0</v>
      </c>
      <c r="V59" s="365">
        <v>0</v>
      </c>
      <c r="W59" s="361">
        <v>0</v>
      </c>
      <c r="X59" s="361">
        <v>0</v>
      </c>
      <c r="Y59" s="361">
        <v>0</v>
      </c>
      <c r="Z59" s="361">
        <v>0</v>
      </c>
      <c r="AA59" s="361">
        <v>0</v>
      </c>
      <c r="AB59" s="361">
        <f t="shared" si="6"/>
        <v>0</v>
      </c>
      <c r="AC59" s="362">
        <f t="shared" si="7"/>
        <v>0</v>
      </c>
    </row>
    <row r="60" spans="1:29" x14ac:dyDescent="0.25">
      <c r="A60" s="338" t="s">
        <v>218</v>
      </c>
      <c r="B60" s="55" t="s">
        <v>146</v>
      </c>
      <c r="C60" s="243">
        <v>0</v>
      </c>
      <c r="D60" s="337">
        <v>0</v>
      </c>
      <c r="E60" s="371">
        <f t="shared" si="15"/>
        <v>0</v>
      </c>
      <c r="F60" s="399">
        <f t="shared" si="8"/>
        <v>0</v>
      </c>
      <c r="G60" s="363">
        <v>0</v>
      </c>
      <c r="H60" s="363">
        <v>0</v>
      </c>
      <c r="I60" s="363">
        <v>0</v>
      </c>
      <c r="J60" s="363">
        <v>0</v>
      </c>
      <c r="K60" s="363">
        <v>0</v>
      </c>
      <c r="L60" s="363">
        <v>0</v>
      </c>
      <c r="M60" s="363">
        <v>0</v>
      </c>
      <c r="N60" s="363">
        <v>0</v>
      </c>
      <c r="O60" s="363">
        <f t="shared" si="20"/>
        <v>0</v>
      </c>
      <c r="P60" s="363">
        <v>0</v>
      </c>
      <c r="Q60" s="363">
        <v>0</v>
      </c>
      <c r="R60" s="363">
        <v>0</v>
      </c>
      <c r="S60" s="363">
        <v>0</v>
      </c>
      <c r="T60" s="363">
        <v>0</v>
      </c>
      <c r="U60" s="363">
        <v>0</v>
      </c>
      <c r="V60" s="363">
        <v>0</v>
      </c>
      <c r="W60" s="363">
        <v>0</v>
      </c>
      <c r="X60" s="363">
        <v>0</v>
      </c>
      <c r="Y60" s="363">
        <v>0</v>
      </c>
      <c r="Z60" s="363">
        <v>0</v>
      </c>
      <c r="AA60" s="363">
        <v>0</v>
      </c>
      <c r="AB60" s="361">
        <f t="shared" si="6"/>
        <v>0</v>
      </c>
      <c r="AC60" s="362">
        <f t="shared" si="7"/>
        <v>0</v>
      </c>
    </row>
    <row r="61" spans="1:29" x14ac:dyDescent="0.25">
      <c r="A61" s="338" t="s">
        <v>219</v>
      </c>
      <c r="B61" s="55" t="s">
        <v>144</v>
      </c>
      <c r="C61" s="243">
        <f>C54</f>
        <v>0.25</v>
      </c>
      <c r="D61" s="337">
        <v>0</v>
      </c>
      <c r="E61" s="371">
        <f t="shared" si="15"/>
        <v>0.25</v>
      </c>
      <c r="F61" s="399">
        <f t="shared" si="8"/>
        <v>0.25</v>
      </c>
      <c r="G61" s="363">
        <v>0</v>
      </c>
      <c r="H61" s="363">
        <v>0</v>
      </c>
      <c r="I61" s="363">
        <v>0</v>
      </c>
      <c r="J61" s="363">
        <v>0</v>
      </c>
      <c r="K61" s="363">
        <v>0</v>
      </c>
      <c r="L61" s="363">
        <v>0.25</v>
      </c>
      <c r="M61" s="363">
        <v>0.25</v>
      </c>
      <c r="N61" s="363">
        <v>0.25</v>
      </c>
      <c r="O61" s="363">
        <f t="shared" si="20"/>
        <v>0.25</v>
      </c>
      <c r="P61" s="363">
        <v>0</v>
      </c>
      <c r="Q61" s="363">
        <v>0</v>
      </c>
      <c r="R61" s="363">
        <v>0</v>
      </c>
      <c r="S61" s="363">
        <v>0</v>
      </c>
      <c r="T61" s="363">
        <v>0</v>
      </c>
      <c r="U61" s="363">
        <v>0</v>
      </c>
      <c r="V61" s="363">
        <v>0</v>
      </c>
      <c r="W61" s="363">
        <v>0</v>
      </c>
      <c r="X61" s="363">
        <v>0</v>
      </c>
      <c r="Y61" s="363">
        <v>0</v>
      </c>
      <c r="Z61" s="363">
        <v>0</v>
      </c>
      <c r="AA61" s="363">
        <v>0</v>
      </c>
      <c r="AB61" s="361">
        <f t="shared" si="6"/>
        <v>0.25</v>
      </c>
      <c r="AC61" s="362">
        <f t="shared" si="7"/>
        <v>0.25</v>
      </c>
    </row>
    <row r="62" spans="1:29" x14ac:dyDescent="0.25">
      <c r="A62" s="338" t="s">
        <v>220</v>
      </c>
      <c r="B62" s="55" t="s">
        <v>142</v>
      </c>
      <c r="C62" s="243">
        <v>0</v>
      </c>
      <c r="D62" s="337">
        <v>0</v>
      </c>
      <c r="E62" s="371">
        <f t="shared" si="15"/>
        <v>0</v>
      </c>
      <c r="F62" s="399">
        <f t="shared" si="8"/>
        <v>0</v>
      </c>
      <c r="G62" s="363">
        <v>0</v>
      </c>
      <c r="H62" s="363">
        <v>0</v>
      </c>
      <c r="I62" s="363">
        <v>0</v>
      </c>
      <c r="J62" s="363">
        <v>0</v>
      </c>
      <c r="K62" s="363">
        <v>0</v>
      </c>
      <c r="L62" s="363">
        <v>0</v>
      </c>
      <c r="M62" s="363">
        <v>0</v>
      </c>
      <c r="N62" s="363">
        <v>0</v>
      </c>
      <c r="O62" s="363">
        <f t="shared" si="20"/>
        <v>0</v>
      </c>
      <c r="P62" s="363">
        <v>0</v>
      </c>
      <c r="Q62" s="363">
        <v>0</v>
      </c>
      <c r="R62" s="363">
        <v>0</v>
      </c>
      <c r="S62" s="363">
        <v>0</v>
      </c>
      <c r="T62" s="363">
        <v>0</v>
      </c>
      <c r="U62" s="363">
        <v>0</v>
      </c>
      <c r="V62" s="363">
        <v>0</v>
      </c>
      <c r="W62" s="363">
        <v>0</v>
      </c>
      <c r="X62" s="363">
        <v>0</v>
      </c>
      <c r="Y62" s="363">
        <v>0</v>
      </c>
      <c r="Z62" s="363">
        <v>0</v>
      </c>
      <c r="AA62" s="363">
        <v>0</v>
      </c>
      <c r="AB62" s="361">
        <f t="shared" si="6"/>
        <v>0</v>
      </c>
      <c r="AC62" s="362">
        <f t="shared" si="7"/>
        <v>0</v>
      </c>
    </row>
    <row r="63" spans="1:29" x14ac:dyDescent="0.25">
      <c r="A63" s="338" t="s">
        <v>221</v>
      </c>
      <c r="B63" s="55" t="s">
        <v>223</v>
      </c>
      <c r="C63" s="243">
        <v>0.29200000000000026</v>
      </c>
      <c r="D63" s="337">
        <v>0</v>
      </c>
      <c r="E63" s="371">
        <f t="shared" si="15"/>
        <v>0.29200000000000026</v>
      </c>
      <c r="F63" s="399">
        <f t="shared" si="8"/>
        <v>0.29200000000000026</v>
      </c>
      <c r="G63" s="363">
        <v>0</v>
      </c>
      <c r="H63" s="363">
        <v>0</v>
      </c>
      <c r="I63" s="363">
        <v>0</v>
      </c>
      <c r="J63" s="363">
        <v>0</v>
      </c>
      <c r="K63" s="363">
        <v>0</v>
      </c>
      <c r="L63" s="363">
        <v>0.29200000000000026</v>
      </c>
      <c r="M63" s="363">
        <v>0.29200000000000026</v>
      </c>
      <c r="N63" s="363">
        <v>1.6800000000000002</v>
      </c>
      <c r="O63" s="363">
        <f t="shared" si="20"/>
        <v>1.6800000000000002</v>
      </c>
      <c r="P63" s="363">
        <v>0</v>
      </c>
      <c r="Q63" s="363">
        <v>0</v>
      </c>
      <c r="R63" s="363">
        <v>0</v>
      </c>
      <c r="S63" s="363">
        <v>0</v>
      </c>
      <c r="T63" s="363">
        <v>0</v>
      </c>
      <c r="U63" s="363">
        <v>0</v>
      </c>
      <c r="V63" s="363">
        <v>0</v>
      </c>
      <c r="W63" s="363">
        <v>0</v>
      </c>
      <c r="X63" s="363">
        <v>0</v>
      </c>
      <c r="Y63" s="363">
        <v>0</v>
      </c>
      <c r="Z63" s="363">
        <v>0</v>
      </c>
      <c r="AA63" s="363">
        <v>0</v>
      </c>
      <c r="AB63" s="361">
        <f t="shared" si="6"/>
        <v>0.29200000000000026</v>
      </c>
      <c r="AC63" s="362">
        <f t="shared" si="7"/>
        <v>1.6800000000000002</v>
      </c>
    </row>
    <row r="64" spans="1:29" ht="18.75" x14ac:dyDescent="0.25">
      <c r="A64" s="338" t="s">
        <v>222</v>
      </c>
      <c r="B64" s="340" t="s">
        <v>121</v>
      </c>
      <c r="C64" s="341">
        <v>0</v>
      </c>
      <c r="D64" s="337">
        <v>0</v>
      </c>
      <c r="E64" s="371">
        <f t="shared" si="15"/>
        <v>0</v>
      </c>
      <c r="F64" s="399">
        <f t="shared" si="8"/>
        <v>0</v>
      </c>
      <c r="G64" s="363">
        <v>0</v>
      </c>
      <c r="H64" s="363">
        <v>0</v>
      </c>
      <c r="I64" s="363">
        <v>0</v>
      </c>
      <c r="J64" s="363">
        <v>0</v>
      </c>
      <c r="K64" s="363">
        <v>0</v>
      </c>
      <c r="L64" s="363">
        <v>0</v>
      </c>
      <c r="M64" s="363">
        <v>0</v>
      </c>
      <c r="N64" s="363">
        <v>0</v>
      </c>
      <c r="O64" s="363">
        <f t="shared" si="20"/>
        <v>0</v>
      </c>
      <c r="P64" s="363">
        <v>0</v>
      </c>
      <c r="Q64" s="363">
        <v>0</v>
      </c>
      <c r="R64" s="363">
        <v>0</v>
      </c>
      <c r="S64" s="363">
        <v>0</v>
      </c>
      <c r="T64" s="363">
        <v>0</v>
      </c>
      <c r="U64" s="363">
        <v>0</v>
      </c>
      <c r="V64" s="363">
        <v>0</v>
      </c>
      <c r="W64" s="363">
        <v>0</v>
      </c>
      <c r="X64" s="363">
        <v>0</v>
      </c>
      <c r="Y64" s="363">
        <v>0</v>
      </c>
      <c r="Z64" s="363">
        <v>0</v>
      </c>
      <c r="AA64" s="363">
        <v>0</v>
      </c>
      <c r="AB64" s="361">
        <f t="shared" si="6"/>
        <v>0</v>
      </c>
      <c r="AC64" s="362">
        <f t="shared" si="7"/>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75"/>
      <c r="C66" s="575"/>
      <c r="D66" s="575"/>
      <c r="E66" s="575"/>
      <c r="F66" s="575"/>
      <c r="G66" s="575"/>
      <c r="H66" s="575"/>
      <c r="I66" s="575"/>
      <c r="J66" s="291"/>
      <c r="K66" s="291"/>
      <c r="L66" s="291"/>
      <c r="M66" s="291"/>
      <c r="N66" s="291"/>
      <c r="O66" s="291"/>
      <c r="P66" s="291"/>
      <c r="Q66" s="291"/>
      <c r="R66" s="291"/>
      <c r="S66" s="291"/>
      <c r="T66" s="291"/>
      <c r="U66" s="291"/>
      <c r="V66" s="291"/>
      <c r="W66" s="291"/>
      <c r="X66" s="291"/>
      <c r="Y66" s="291"/>
      <c r="Z66" s="291"/>
      <c r="AA66" s="291"/>
      <c r="AB66" s="52"/>
    </row>
    <row r="67" spans="1:28" x14ac:dyDescent="0.25">
      <c r="A67" s="49"/>
      <c r="B67" s="49"/>
      <c r="C67" s="49"/>
      <c r="D67" s="49"/>
      <c r="E67" s="49"/>
      <c r="F67" s="49"/>
      <c r="AB67" s="49"/>
    </row>
    <row r="68" spans="1:28" ht="50.25" customHeight="1" x14ac:dyDescent="0.25">
      <c r="A68" s="49"/>
      <c r="B68" s="576"/>
      <c r="C68" s="576"/>
      <c r="D68" s="576"/>
      <c r="E68" s="576"/>
      <c r="F68" s="576"/>
      <c r="G68" s="576"/>
      <c r="H68" s="576"/>
      <c r="I68" s="576"/>
      <c r="J68" s="292"/>
      <c r="K68" s="292"/>
      <c r="L68" s="292"/>
      <c r="M68" s="292"/>
      <c r="N68" s="292"/>
      <c r="O68" s="292"/>
      <c r="P68" s="292"/>
      <c r="Q68" s="292"/>
      <c r="R68" s="292"/>
      <c r="S68" s="292"/>
      <c r="T68" s="292"/>
      <c r="U68" s="292"/>
      <c r="V68" s="292"/>
      <c r="W68" s="292"/>
      <c r="X68" s="292"/>
      <c r="Y68" s="292"/>
      <c r="Z68" s="292"/>
      <c r="AA68" s="292"/>
      <c r="AB68" s="49"/>
    </row>
    <row r="69" spans="1:28" x14ac:dyDescent="0.25">
      <c r="A69" s="49"/>
      <c r="B69" s="49"/>
      <c r="C69" s="49"/>
      <c r="D69" s="49"/>
      <c r="E69" s="49"/>
      <c r="F69" s="49"/>
      <c r="AB69" s="49"/>
    </row>
    <row r="70" spans="1:28" ht="36.75" customHeight="1" x14ac:dyDescent="0.25">
      <c r="A70" s="49"/>
      <c r="B70" s="575"/>
      <c r="C70" s="575"/>
      <c r="D70" s="575"/>
      <c r="E70" s="575"/>
      <c r="F70" s="575"/>
      <c r="G70" s="575"/>
      <c r="H70" s="575"/>
      <c r="I70" s="575"/>
      <c r="J70" s="291"/>
      <c r="K70" s="291"/>
      <c r="L70" s="291"/>
      <c r="M70" s="291"/>
      <c r="N70" s="291"/>
      <c r="O70" s="291"/>
      <c r="P70" s="291"/>
      <c r="Q70" s="291"/>
      <c r="R70" s="291"/>
      <c r="S70" s="291"/>
      <c r="T70" s="291"/>
      <c r="U70" s="291"/>
      <c r="V70" s="291"/>
      <c r="W70" s="291"/>
      <c r="X70" s="291"/>
      <c r="Y70" s="291"/>
      <c r="Z70" s="291"/>
      <c r="AA70" s="291"/>
      <c r="AB70" s="49"/>
    </row>
    <row r="71" spans="1:28" x14ac:dyDescent="0.25">
      <c r="A71" s="49"/>
      <c r="B71" s="51"/>
      <c r="C71" s="51"/>
      <c r="D71" s="51"/>
      <c r="E71" s="51"/>
      <c r="F71" s="51"/>
      <c r="AB71" s="49"/>
    </row>
    <row r="72" spans="1:28" ht="51" customHeight="1" x14ac:dyDescent="0.25">
      <c r="A72" s="49"/>
      <c r="B72" s="575"/>
      <c r="C72" s="575"/>
      <c r="D72" s="575"/>
      <c r="E72" s="575"/>
      <c r="F72" s="575"/>
      <c r="G72" s="575"/>
      <c r="H72" s="575"/>
      <c r="I72" s="575"/>
      <c r="J72" s="291"/>
      <c r="K72" s="291"/>
      <c r="L72" s="291"/>
      <c r="M72" s="291"/>
      <c r="N72" s="291"/>
      <c r="O72" s="291"/>
      <c r="P72" s="291"/>
      <c r="Q72" s="291"/>
      <c r="R72" s="291"/>
      <c r="S72" s="291"/>
      <c r="T72" s="291"/>
      <c r="U72" s="291"/>
      <c r="V72" s="291"/>
      <c r="W72" s="291"/>
      <c r="X72" s="291"/>
      <c r="Y72" s="291"/>
      <c r="Z72" s="291"/>
      <c r="AA72" s="291"/>
      <c r="AB72" s="49"/>
    </row>
    <row r="73" spans="1:28" ht="32.25" customHeight="1" x14ac:dyDescent="0.25">
      <c r="A73" s="49"/>
      <c r="B73" s="576"/>
      <c r="C73" s="576"/>
      <c r="D73" s="576"/>
      <c r="E73" s="576"/>
      <c r="F73" s="576"/>
      <c r="G73" s="576"/>
      <c r="H73" s="576"/>
      <c r="I73" s="576"/>
      <c r="J73" s="292"/>
      <c r="K73" s="292"/>
      <c r="L73" s="292"/>
      <c r="M73" s="292"/>
      <c r="N73" s="292"/>
      <c r="O73" s="292"/>
      <c r="P73" s="292"/>
      <c r="Q73" s="292"/>
      <c r="R73" s="292"/>
      <c r="S73" s="292"/>
      <c r="T73" s="292"/>
      <c r="U73" s="292"/>
      <c r="V73" s="292"/>
      <c r="W73" s="292"/>
      <c r="X73" s="292"/>
      <c r="Y73" s="292"/>
      <c r="Z73" s="292"/>
      <c r="AA73" s="292"/>
      <c r="AB73" s="49"/>
    </row>
    <row r="74" spans="1:28" ht="51.75" customHeight="1" x14ac:dyDescent="0.25">
      <c r="A74" s="49"/>
      <c r="B74" s="575"/>
      <c r="C74" s="575"/>
      <c r="D74" s="575"/>
      <c r="E74" s="575"/>
      <c r="F74" s="575"/>
      <c r="G74" s="575"/>
      <c r="H74" s="575"/>
      <c r="I74" s="575"/>
      <c r="J74" s="291"/>
      <c r="K74" s="291"/>
      <c r="L74" s="291"/>
      <c r="M74" s="291"/>
      <c r="N74" s="291"/>
      <c r="O74" s="291"/>
      <c r="P74" s="291"/>
      <c r="Q74" s="291"/>
      <c r="R74" s="291"/>
      <c r="S74" s="291"/>
      <c r="T74" s="291"/>
      <c r="U74" s="291"/>
      <c r="V74" s="291"/>
      <c r="W74" s="291"/>
      <c r="X74" s="291"/>
      <c r="Y74" s="291"/>
      <c r="Z74" s="291"/>
      <c r="AA74" s="291"/>
      <c r="AB74" s="49"/>
    </row>
    <row r="75" spans="1:28" ht="21.75" customHeight="1" x14ac:dyDescent="0.25">
      <c r="A75" s="49"/>
      <c r="B75" s="573"/>
      <c r="C75" s="573"/>
      <c r="D75" s="573"/>
      <c r="E75" s="573"/>
      <c r="F75" s="573"/>
      <c r="G75" s="573"/>
      <c r="H75" s="573"/>
      <c r="I75" s="573"/>
      <c r="J75" s="289"/>
      <c r="K75" s="289"/>
      <c r="L75" s="289"/>
      <c r="M75" s="289"/>
      <c r="N75" s="289"/>
      <c r="O75" s="289"/>
      <c r="P75" s="289"/>
      <c r="Q75" s="289"/>
      <c r="R75" s="289"/>
      <c r="S75" s="289"/>
      <c r="T75" s="289"/>
      <c r="U75" s="289"/>
      <c r="V75" s="289"/>
      <c r="W75" s="289"/>
      <c r="X75" s="289"/>
      <c r="Y75" s="289"/>
      <c r="Z75" s="289"/>
      <c r="AA75" s="289"/>
      <c r="AB75" s="49"/>
    </row>
    <row r="76" spans="1:28" ht="23.25" customHeight="1" x14ac:dyDescent="0.25">
      <c r="A76" s="49"/>
      <c r="B76" s="50"/>
      <c r="C76" s="50"/>
      <c r="D76" s="50"/>
      <c r="E76" s="50"/>
      <c r="F76" s="50"/>
      <c r="AB76" s="49"/>
    </row>
    <row r="77" spans="1:28" ht="18.75" customHeight="1" x14ac:dyDescent="0.25">
      <c r="A77" s="49"/>
      <c r="B77" s="574"/>
      <c r="C77" s="574"/>
      <c r="D77" s="574"/>
      <c r="E77" s="574"/>
      <c r="F77" s="574"/>
      <c r="G77" s="574"/>
      <c r="H77" s="574"/>
      <c r="I77" s="574"/>
      <c r="J77" s="290"/>
      <c r="K77" s="290"/>
      <c r="L77" s="290"/>
      <c r="M77" s="290"/>
      <c r="N77" s="290"/>
      <c r="O77" s="290"/>
      <c r="P77" s="290"/>
      <c r="Q77" s="290"/>
      <c r="R77" s="290"/>
      <c r="S77" s="290"/>
      <c r="T77" s="290"/>
      <c r="U77" s="290"/>
      <c r="V77" s="290"/>
      <c r="W77" s="290"/>
      <c r="X77" s="290"/>
      <c r="Y77" s="290"/>
      <c r="Z77" s="290"/>
      <c r="AA77" s="290"/>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D64">
    <cfRule type="cellIs" dxfId="18" priority="21" operator="notEqual">
      <formula>0</formula>
    </cfRule>
  </conditionalFormatting>
  <conditionalFormatting sqref="AC24:AC64">
    <cfRule type="cellIs" dxfId="17" priority="17" operator="notEqual">
      <formula>0</formula>
    </cfRule>
  </conditionalFormatting>
  <conditionalFormatting sqref="L31:L64 L24:M29 O24:S29 O31:S64">
    <cfRule type="cellIs" dxfId="16" priority="16" operator="notEqual">
      <formula>0</formula>
    </cfRule>
  </conditionalFormatting>
  <conditionalFormatting sqref="T24:AB24 T35:AB64 T31:W34 T25:W29 Y25:AB34 G24:H64 O30:W30 L30">
    <cfRule type="cellIs" dxfId="15" priority="18" operator="notEqual">
      <formula>0</formula>
    </cfRule>
  </conditionalFormatting>
  <conditionalFormatting sqref="X25:X34">
    <cfRule type="cellIs" dxfId="14" priority="15" operator="notEqual">
      <formula>0</formula>
    </cfRule>
  </conditionalFormatting>
  <conditionalFormatting sqref="E24:E64">
    <cfRule type="cellIs" dxfId="13" priority="14" operator="notEqual">
      <formula>0</formula>
    </cfRule>
  </conditionalFormatting>
  <conditionalFormatting sqref="N24:N29 N31:N64">
    <cfRule type="cellIs" dxfId="12" priority="12" operator="notEqual">
      <formula>0</formula>
    </cfRule>
  </conditionalFormatting>
  <conditionalFormatting sqref="N30">
    <cfRule type="cellIs" dxfId="11" priority="13" operator="notEqual">
      <formula>0</formula>
    </cfRule>
  </conditionalFormatting>
  <conditionalFormatting sqref="J24:J29 J31:J64">
    <cfRule type="cellIs" dxfId="10" priority="10" operator="notEqual">
      <formula>0</formula>
    </cfRule>
  </conditionalFormatting>
  <conditionalFormatting sqref="J30">
    <cfRule type="cellIs" dxfId="9" priority="11" operator="notEqual">
      <formula>0</formula>
    </cfRule>
  </conditionalFormatting>
  <conditionalFormatting sqref="K24:K29 K31:K64">
    <cfRule type="cellIs" dxfId="8" priority="8" operator="notEqual">
      <formula>0</formula>
    </cfRule>
  </conditionalFormatting>
  <conditionalFormatting sqref="K30">
    <cfRule type="cellIs" dxfId="7" priority="9" operator="notEqual">
      <formula>0</formula>
    </cfRule>
  </conditionalFormatting>
  <conditionalFormatting sqref="I24:I29 I31:I64">
    <cfRule type="cellIs" dxfId="6" priority="6" operator="notEqual">
      <formula>0</formula>
    </cfRule>
  </conditionalFormatting>
  <conditionalFormatting sqref="I30">
    <cfRule type="cellIs" dxfId="5" priority="7"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31:M6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U19"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513</v>
      </c>
    </row>
    <row r="4" spans="1:48" ht="18.75" x14ac:dyDescent="0.3">
      <c r="AV4" s="14"/>
    </row>
    <row r="5" spans="1:48" ht="18.75" customHeight="1" x14ac:dyDescent="0.25">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row>
    <row r="6" spans="1:48" ht="18.75" x14ac:dyDescent="0.3">
      <c r="AV6" s="14"/>
    </row>
    <row r="7" spans="1:48" ht="18.75" x14ac:dyDescent="0.25">
      <c r="A7" s="473" t="s">
        <v>6</v>
      </c>
      <c r="B7" s="473"/>
      <c r="C7" s="473"/>
      <c r="D7" s="473"/>
      <c r="E7" s="473"/>
      <c r="F7" s="473"/>
      <c r="G7" s="473"/>
      <c r="H7" s="473"/>
      <c r="I7" s="473"/>
      <c r="J7" s="473"/>
      <c r="K7" s="473"/>
      <c r="L7" s="473"/>
      <c r="M7" s="473"/>
      <c r="N7" s="473"/>
      <c r="O7" s="473"/>
      <c r="P7" s="473"/>
      <c r="Q7" s="473"/>
      <c r="R7" s="473"/>
      <c r="S7" s="473"/>
      <c r="T7" s="473"/>
      <c r="U7" s="473"/>
      <c r="V7" s="473"/>
      <c r="W7" s="473"/>
      <c r="X7" s="473"/>
      <c r="Y7" s="473"/>
      <c r="Z7" s="473"/>
      <c r="AA7" s="473"/>
      <c r="AB7" s="473"/>
      <c r="AC7" s="473"/>
      <c r="AD7" s="473"/>
      <c r="AE7" s="473"/>
      <c r="AF7" s="473"/>
      <c r="AG7" s="473"/>
      <c r="AH7" s="473"/>
      <c r="AI7" s="473"/>
      <c r="AJ7" s="473"/>
      <c r="AK7" s="473"/>
      <c r="AL7" s="473"/>
      <c r="AM7" s="473"/>
      <c r="AN7" s="473"/>
      <c r="AO7" s="473"/>
      <c r="AP7" s="473"/>
      <c r="AQ7" s="473"/>
      <c r="AR7" s="473"/>
      <c r="AS7" s="473"/>
      <c r="AT7" s="473"/>
      <c r="AU7" s="473"/>
      <c r="AV7" s="473"/>
    </row>
    <row r="8" spans="1:48" ht="18.75" x14ac:dyDescent="0.25">
      <c r="A8" s="473"/>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c r="AH8" s="473"/>
      <c r="AI8" s="473"/>
      <c r="AJ8" s="473"/>
      <c r="AK8" s="473"/>
      <c r="AL8" s="473"/>
      <c r="AM8" s="473"/>
      <c r="AN8" s="473"/>
      <c r="AO8" s="473"/>
      <c r="AP8" s="473"/>
      <c r="AQ8" s="473"/>
      <c r="AR8" s="473"/>
      <c r="AS8" s="473"/>
      <c r="AT8" s="473"/>
      <c r="AU8" s="473"/>
      <c r="AV8" s="473"/>
    </row>
    <row r="9" spans="1:48" x14ac:dyDescent="0.25">
      <c r="A9" s="467" t="str">
        <f>'1. паспорт местоположение'!A9:C9</f>
        <v>Акционерное общество "Россети Янтарь" ДЗО  ПАО "Россети"</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c r="AS9" s="467"/>
      <c r="AT9" s="467"/>
      <c r="AU9" s="467"/>
      <c r="AV9" s="467"/>
    </row>
    <row r="10" spans="1:48" ht="15.75" x14ac:dyDescent="0.25">
      <c r="A10" s="472" t="s">
        <v>5</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ht="18.75" x14ac:dyDescent="0.25">
      <c r="A11" s="473"/>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c r="AH11" s="473"/>
      <c r="AI11" s="473"/>
      <c r="AJ11" s="473"/>
      <c r="AK11" s="473"/>
      <c r="AL11" s="473"/>
      <c r="AM11" s="473"/>
      <c r="AN11" s="473"/>
      <c r="AO11" s="473"/>
      <c r="AP11" s="473"/>
      <c r="AQ11" s="473"/>
      <c r="AR11" s="473"/>
      <c r="AS11" s="473"/>
      <c r="AT11" s="473"/>
      <c r="AU11" s="473"/>
      <c r="AV11" s="473"/>
    </row>
    <row r="12" spans="1:48" x14ac:dyDescent="0.25">
      <c r="A12" s="467" t="str">
        <f>'1. паспорт местоположение'!A12:C12</f>
        <v>N_22-1289</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7"/>
      <c r="AT12" s="467"/>
      <c r="AU12" s="467"/>
      <c r="AV12" s="467"/>
    </row>
    <row r="13" spans="1:48" ht="15.75" x14ac:dyDescent="0.25">
      <c r="A13" s="472" t="s">
        <v>4</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ht="18.75" x14ac:dyDescent="0.25">
      <c r="A14" s="474"/>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c r="AD14" s="474"/>
      <c r="AE14" s="474"/>
      <c r="AF14" s="474"/>
      <c r="AG14" s="474"/>
      <c r="AH14" s="474"/>
      <c r="AI14" s="474"/>
      <c r="AJ14" s="474"/>
      <c r="AK14" s="474"/>
      <c r="AL14" s="474"/>
      <c r="AM14" s="474"/>
      <c r="AN14" s="474"/>
      <c r="AO14" s="474"/>
      <c r="AP14" s="474"/>
      <c r="AQ14" s="474"/>
      <c r="AR14" s="474"/>
      <c r="AS14" s="474"/>
      <c r="AT14" s="474"/>
      <c r="AU14" s="474"/>
      <c r="AV14" s="474"/>
    </row>
    <row r="15" spans="1:48" ht="33" customHeight="1" x14ac:dyDescent="0.25">
      <c r="A15" s="467"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row>
    <row r="16" spans="1:48" ht="15.75" x14ac:dyDescent="0.25">
      <c r="A16" s="472" t="s">
        <v>3</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x14ac:dyDescent="0.25">
      <c r="A17" s="577"/>
      <c r="B17" s="577"/>
      <c r="C17" s="577"/>
      <c r="D17" s="577"/>
      <c r="E17" s="577"/>
      <c r="F17" s="577"/>
      <c r="G17" s="577"/>
      <c r="H17" s="577"/>
      <c r="I17" s="577"/>
      <c r="J17" s="577"/>
      <c r="K17" s="577"/>
      <c r="L17" s="577"/>
      <c r="M17" s="577"/>
      <c r="N17" s="577"/>
      <c r="O17" s="577"/>
      <c r="P17" s="577"/>
      <c r="Q17" s="577"/>
      <c r="R17" s="577"/>
      <c r="S17" s="577"/>
      <c r="T17" s="577"/>
      <c r="U17" s="577"/>
      <c r="V17" s="577"/>
      <c r="W17" s="577"/>
      <c r="X17" s="577"/>
      <c r="Y17" s="577"/>
      <c r="Z17" s="577"/>
      <c r="AA17" s="577"/>
      <c r="AB17" s="577"/>
      <c r="AC17" s="577"/>
      <c r="AD17" s="577"/>
      <c r="AE17" s="577"/>
      <c r="AF17" s="577"/>
      <c r="AG17" s="577"/>
      <c r="AH17" s="577"/>
      <c r="AI17" s="577"/>
      <c r="AJ17" s="577"/>
      <c r="AK17" s="577"/>
      <c r="AL17" s="577"/>
      <c r="AM17" s="577"/>
      <c r="AN17" s="577"/>
      <c r="AO17" s="577"/>
      <c r="AP17" s="577"/>
      <c r="AQ17" s="577"/>
      <c r="AR17" s="577"/>
      <c r="AS17" s="577"/>
      <c r="AT17" s="577"/>
      <c r="AU17" s="577"/>
      <c r="AV17" s="577"/>
    </row>
    <row r="18" spans="1:48" ht="14.25" customHeight="1" x14ac:dyDescent="0.25">
      <c r="A18" s="577"/>
      <c r="B18" s="577"/>
      <c r="C18" s="577"/>
      <c r="D18" s="577"/>
      <c r="E18" s="577"/>
      <c r="F18" s="577"/>
      <c r="G18" s="577"/>
      <c r="H18" s="577"/>
      <c r="I18" s="577"/>
      <c r="J18" s="577"/>
      <c r="K18" s="577"/>
      <c r="L18" s="577"/>
      <c r="M18" s="577"/>
      <c r="N18" s="577"/>
      <c r="O18" s="577"/>
      <c r="P18" s="577"/>
      <c r="Q18" s="577"/>
      <c r="R18" s="577"/>
      <c r="S18" s="577"/>
      <c r="T18" s="577"/>
      <c r="U18" s="577"/>
      <c r="V18" s="577"/>
      <c r="W18" s="577"/>
      <c r="X18" s="577"/>
      <c r="Y18" s="577"/>
      <c r="Z18" s="577"/>
      <c r="AA18" s="577"/>
      <c r="AB18" s="577"/>
      <c r="AC18" s="577"/>
      <c r="AD18" s="577"/>
      <c r="AE18" s="577"/>
      <c r="AF18" s="577"/>
      <c r="AG18" s="577"/>
      <c r="AH18" s="577"/>
      <c r="AI18" s="577"/>
      <c r="AJ18" s="577"/>
      <c r="AK18" s="577"/>
      <c r="AL18" s="577"/>
      <c r="AM18" s="577"/>
      <c r="AN18" s="577"/>
      <c r="AO18" s="577"/>
      <c r="AP18" s="577"/>
      <c r="AQ18" s="577"/>
      <c r="AR18" s="577"/>
      <c r="AS18" s="577"/>
      <c r="AT18" s="577"/>
      <c r="AU18" s="577"/>
      <c r="AV18" s="577"/>
    </row>
    <row r="19" spans="1:48" x14ac:dyDescent="0.25">
      <c r="A19" s="577"/>
      <c r="B19" s="577"/>
      <c r="C19" s="577"/>
      <c r="D19" s="577"/>
      <c r="E19" s="577"/>
      <c r="F19" s="577"/>
      <c r="G19" s="577"/>
      <c r="H19" s="577"/>
      <c r="I19" s="577"/>
      <c r="J19" s="577"/>
      <c r="K19" s="577"/>
      <c r="L19" s="577"/>
      <c r="M19" s="577"/>
      <c r="N19" s="577"/>
      <c r="O19" s="577"/>
      <c r="P19" s="577"/>
      <c r="Q19" s="577"/>
      <c r="R19" s="577"/>
      <c r="S19" s="577"/>
      <c r="T19" s="577"/>
      <c r="U19" s="577"/>
      <c r="V19" s="577"/>
      <c r="W19" s="577"/>
      <c r="X19" s="577"/>
      <c r="Y19" s="577"/>
      <c r="Z19" s="577"/>
      <c r="AA19" s="577"/>
      <c r="AB19" s="577"/>
      <c r="AC19" s="577"/>
      <c r="AD19" s="577"/>
      <c r="AE19" s="577"/>
      <c r="AF19" s="577"/>
      <c r="AG19" s="577"/>
      <c r="AH19" s="577"/>
      <c r="AI19" s="577"/>
      <c r="AJ19" s="577"/>
      <c r="AK19" s="577"/>
      <c r="AL19" s="577"/>
      <c r="AM19" s="577"/>
      <c r="AN19" s="577"/>
      <c r="AO19" s="577"/>
      <c r="AP19" s="577"/>
      <c r="AQ19" s="577"/>
      <c r="AR19" s="577"/>
      <c r="AS19" s="577"/>
      <c r="AT19" s="577"/>
      <c r="AU19" s="577"/>
      <c r="AV19" s="577"/>
    </row>
    <row r="20" spans="1:48" s="21" customFormat="1" x14ac:dyDescent="0.25">
      <c r="A20" s="578"/>
      <c r="B20" s="578"/>
      <c r="C20" s="578"/>
      <c r="D20" s="578"/>
      <c r="E20" s="578"/>
      <c r="F20" s="578"/>
      <c r="G20" s="578"/>
      <c r="H20" s="578"/>
      <c r="I20" s="578"/>
      <c r="J20" s="578"/>
      <c r="K20" s="578"/>
      <c r="L20" s="578"/>
      <c r="M20" s="578"/>
      <c r="N20" s="578"/>
      <c r="O20" s="578"/>
      <c r="P20" s="578"/>
      <c r="Q20" s="578"/>
      <c r="R20" s="578"/>
      <c r="S20" s="578"/>
      <c r="T20" s="578"/>
      <c r="U20" s="578"/>
      <c r="V20" s="578"/>
      <c r="W20" s="578"/>
      <c r="X20" s="578"/>
      <c r="Y20" s="578"/>
      <c r="Z20" s="578"/>
      <c r="AA20" s="578"/>
      <c r="AB20" s="578"/>
      <c r="AC20" s="578"/>
      <c r="AD20" s="578"/>
      <c r="AE20" s="578"/>
      <c r="AF20" s="578"/>
      <c r="AG20" s="578"/>
      <c r="AH20" s="578"/>
      <c r="AI20" s="578"/>
      <c r="AJ20" s="578"/>
      <c r="AK20" s="578"/>
      <c r="AL20" s="578"/>
      <c r="AM20" s="578"/>
      <c r="AN20" s="578"/>
      <c r="AO20" s="578"/>
      <c r="AP20" s="578"/>
      <c r="AQ20" s="578"/>
      <c r="AR20" s="578"/>
      <c r="AS20" s="578"/>
      <c r="AT20" s="578"/>
      <c r="AU20" s="578"/>
      <c r="AV20" s="578"/>
    </row>
    <row r="21" spans="1:48" s="21" customFormat="1" x14ac:dyDescent="0.25">
      <c r="A21" s="579" t="s">
        <v>441</v>
      </c>
      <c r="B21" s="579"/>
      <c r="C21" s="579"/>
      <c r="D21" s="579"/>
      <c r="E21" s="579"/>
      <c r="F21" s="579"/>
      <c r="G21" s="579"/>
      <c r="H21" s="579"/>
      <c r="I21" s="579"/>
      <c r="J21" s="579"/>
      <c r="K21" s="579"/>
      <c r="L21" s="579"/>
      <c r="M21" s="579"/>
      <c r="N21" s="579"/>
      <c r="O21" s="579"/>
      <c r="P21" s="579"/>
      <c r="Q21" s="579"/>
      <c r="R21" s="579"/>
      <c r="S21" s="579"/>
      <c r="T21" s="579"/>
      <c r="U21" s="579"/>
      <c r="V21" s="579"/>
      <c r="W21" s="579"/>
      <c r="X21" s="579"/>
      <c r="Y21" s="579"/>
      <c r="Z21" s="579"/>
      <c r="AA21" s="579"/>
      <c r="AB21" s="579"/>
      <c r="AC21" s="579"/>
      <c r="AD21" s="579"/>
      <c r="AE21" s="579"/>
      <c r="AF21" s="579"/>
      <c r="AG21" s="579"/>
      <c r="AH21" s="579"/>
      <c r="AI21" s="579"/>
      <c r="AJ21" s="579"/>
      <c r="AK21" s="579"/>
      <c r="AL21" s="579"/>
      <c r="AM21" s="579"/>
      <c r="AN21" s="579"/>
      <c r="AO21" s="579"/>
      <c r="AP21" s="579"/>
      <c r="AQ21" s="579"/>
      <c r="AR21" s="579"/>
      <c r="AS21" s="579"/>
      <c r="AT21" s="579"/>
      <c r="AU21" s="579"/>
      <c r="AV21" s="579"/>
    </row>
    <row r="22" spans="1:48" s="21" customFormat="1" ht="58.5" customHeight="1" x14ac:dyDescent="0.25">
      <c r="A22" s="580" t="s">
        <v>49</v>
      </c>
      <c r="B22" s="583" t="s">
        <v>21</v>
      </c>
      <c r="C22" s="580" t="s">
        <v>48</v>
      </c>
      <c r="D22" s="580" t="s">
        <v>47</v>
      </c>
      <c r="E22" s="586" t="s">
        <v>452</v>
      </c>
      <c r="F22" s="587"/>
      <c r="G22" s="587"/>
      <c r="H22" s="587"/>
      <c r="I22" s="587"/>
      <c r="J22" s="587"/>
      <c r="K22" s="587"/>
      <c r="L22" s="588"/>
      <c r="M22" s="580" t="s">
        <v>46</v>
      </c>
      <c r="N22" s="580" t="s">
        <v>45</v>
      </c>
      <c r="O22" s="580" t="s">
        <v>44</v>
      </c>
      <c r="P22" s="589" t="s">
        <v>232</v>
      </c>
      <c r="Q22" s="589" t="s">
        <v>43</v>
      </c>
      <c r="R22" s="589" t="s">
        <v>42</v>
      </c>
      <c r="S22" s="589" t="s">
        <v>41</v>
      </c>
      <c r="T22" s="589"/>
      <c r="U22" s="590" t="s">
        <v>40</v>
      </c>
      <c r="V22" s="590" t="s">
        <v>39</v>
      </c>
      <c r="W22" s="589" t="s">
        <v>38</v>
      </c>
      <c r="X22" s="589" t="s">
        <v>37</v>
      </c>
      <c r="Y22" s="589" t="s">
        <v>36</v>
      </c>
      <c r="Z22" s="603" t="s">
        <v>35</v>
      </c>
      <c r="AA22" s="589" t="s">
        <v>34</v>
      </c>
      <c r="AB22" s="589" t="s">
        <v>33</v>
      </c>
      <c r="AC22" s="589" t="s">
        <v>32</v>
      </c>
      <c r="AD22" s="589" t="s">
        <v>31</v>
      </c>
      <c r="AE22" s="589" t="s">
        <v>30</v>
      </c>
      <c r="AF22" s="589" t="s">
        <v>29</v>
      </c>
      <c r="AG22" s="589"/>
      <c r="AH22" s="589"/>
      <c r="AI22" s="589"/>
      <c r="AJ22" s="589"/>
      <c r="AK22" s="589"/>
      <c r="AL22" s="589" t="s">
        <v>28</v>
      </c>
      <c r="AM22" s="589"/>
      <c r="AN22" s="589"/>
      <c r="AO22" s="589"/>
      <c r="AP22" s="589" t="s">
        <v>27</v>
      </c>
      <c r="AQ22" s="589"/>
      <c r="AR22" s="589" t="s">
        <v>26</v>
      </c>
      <c r="AS22" s="589" t="s">
        <v>25</v>
      </c>
      <c r="AT22" s="589" t="s">
        <v>24</v>
      </c>
      <c r="AU22" s="589" t="s">
        <v>23</v>
      </c>
      <c r="AV22" s="593" t="s">
        <v>22</v>
      </c>
    </row>
    <row r="23" spans="1:48" s="21" customFormat="1" ht="64.5" customHeight="1" x14ac:dyDescent="0.25">
      <c r="A23" s="581"/>
      <c r="B23" s="584"/>
      <c r="C23" s="581"/>
      <c r="D23" s="581"/>
      <c r="E23" s="595" t="s">
        <v>20</v>
      </c>
      <c r="F23" s="597" t="s">
        <v>125</v>
      </c>
      <c r="G23" s="597" t="s">
        <v>124</v>
      </c>
      <c r="H23" s="597" t="s">
        <v>123</v>
      </c>
      <c r="I23" s="601" t="s">
        <v>362</v>
      </c>
      <c r="J23" s="601" t="s">
        <v>363</v>
      </c>
      <c r="K23" s="601" t="s">
        <v>364</v>
      </c>
      <c r="L23" s="597" t="s">
        <v>73</v>
      </c>
      <c r="M23" s="581"/>
      <c r="N23" s="581"/>
      <c r="O23" s="581"/>
      <c r="P23" s="589"/>
      <c r="Q23" s="589"/>
      <c r="R23" s="589"/>
      <c r="S23" s="599" t="s">
        <v>1</v>
      </c>
      <c r="T23" s="599" t="s">
        <v>8</v>
      </c>
      <c r="U23" s="590"/>
      <c r="V23" s="590"/>
      <c r="W23" s="589"/>
      <c r="X23" s="589"/>
      <c r="Y23" s="589"/>
      <c r="Z23" s="589"/>
      <c r="AA23" s="589"/>
      <c r="AB23" s="589"/>
      <c r="AC23" s="589"/>
      <c r="AD23" s="589"/>
      <c r="AE23" s="589"/>
      <c r="AF23" s="589" t="s">
        <v>19</v>
      </c>
      <c r="AG23" s="589"/>
      <c r="AH23" s="589" t="s">
        <v>18</v>
      </c>
      <c r="AI23" s="589"/>
      <c r="AJ23" s="580" t="s">
        <v>17</v>
      </c>
      <c r="AK23" s="580" t="s">
        <v>16</v>
      </c>
      <c r="AL23" s="580" t="s">
        <v>15</v>
      </c>
      <c r="AM23" s="580" t="s">
        <v>14</v>
      </c>
      <c r="AN23" s="580" t="s">
        <v>13</v>
      </c>
      <c r="AO23" s="580" t="s">
        <v>12</v>
      </c>
      <c r="AP23" s="580" t="s">
        <v>11</v>
      </c>
      <c r="AQ23" s="591" t="s">
        <v>8</v>
      </c>
      <c r="AR23" s="589"/>
      <c r="AS23" s="589"/>
      <c r="AT23" s="589"/>
      <c r="AU23" s="589"/>
      <c r="AV23" s="594"/>
    </row>
    <row r="24" spans="1:48" s="21" customFormat="1" ht="96.75" customHeight="1" x14ac:dyDescent="0.25">
      <c r="A24" s="582"/>
      <c r="B24" s="585"/>
      <c r="C24" s="582"/>
      <c r="D24" s="582"/>
      <c r="E24" s="596"/>
      <c r="F24" s="598"/>
      <c r="G24" s="598"/>
      <c r="H24" s="598"/>
      <c r="I24" s="602"/>
      <c r="J24" s="602"/>
      <c r="K24" s="602"/>
      <c r="L24" s="598"/>
      <c r="M24" s="582"/>
      <c r="N24" s="582"/>
      <c r="O24" s="582"/>
      <c r="P24" s="589"/>
      <c r="Q24" s="589"/>
      <c r="R24" s="589"/>
      <c r="S24" s="600"/>
      <c r="T24" s="600"/>
      <c r="U24" s="590"/>
      <c r="V24" s="590"/>
      <c r="W24" s="589"/>
      <c r="X24" s="589"/>
      <c r="Y24" s="589"/>
      <c r="Z24" s="589"/>
      <c r="AA24" s="589"/>
      <c r="AB24" s="589"/>
      <c r="AC24" s="589"/>
      <c r="AD24" s="589"/>
      <c r="AE24" s="589"/>
      <c r="AF24" s="91" t="s">
        <v>10</v>
      </c>
      <c r="AG24" s="91" t="s">
        <v>9</v>
      </c>
      <c r="AH24" s="92" t="s">
        <v>1</v>
      </c>
      <c r="AI24" s="92" t="s">
        <v>8</v>
      </c>
      <c r="AJ24" s="582"/>
      <c r="AK24" s="582"/>
      <c r="AL24" s="582"/>
      <c r="AM24" s="582"/>
      <c r="AN24" s="582"/>
      <c r="AO24" s="582"/>
      <c r="AP24" s="582"/>
      <c r="AQ24" s="592"/>
      <c r="AR24" s="589"/>
      <c r="AS24" s="589"/>
      <c r="AT24" s="589"/>
      <c r="AU24" s="589"/>
      <c r="AV24" s="59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43">
        <v>1</v>
      </c>
      <c r="B26" s="344" t="s">
        <v>534</v>
      </c>
      <c r="C26" s="344" t="s">
        <v>61</v>
      </c>
      <c r="D26" s="345">
        <f>'6.1. Паспорт сетевой график'!F53</f>
        <v>45930</v>
      </c>
      <c r="E26" s="346"/>
      <c r="F26" s="346"/>
      <c r="G26" s="346">
        <f>'6.2. Паспорт фин осв ввод'!C37</f>
        <v>0.25</v>
      </c>
      <c r="H26" s="346"/>
      <c r="I26" s="346">
        <f>'3.2 паспорт Техсостояние ЛЭП'!R44</f>
        <v>1.5990000000000002</v>
      </c>
      <c r="J26" s="346">
        <f>'3.2 паспорт Техсостояние ЛЭП'!R45</f>
        <v>0.38</v>
      </c>
      <c r="K26" s="346"/>
      <c r="L26" s="346"/>
      <c r="M26" s="382" t="s">
        <v>587</v>
      </c>
      <c r="N26" s="382" t="s">
        <v>588</v>
      </c>
      <c r="O26" s="382" t="s">
        <v>534</v>
      </c>
      <c r="P26" s="383">
        <v>1645.1971899999999</v>
      </c>
      <c r="Q26" s="382" t="s">
        <v>589</v>
      </c>
      <c r="R26" s="383">
        <v>1645.1971899999999</v>
      </c>
      <c r="S26" s="382" t="s">
        <v>590</v>
      </c>
      <c r="T26" s="382" t="s">
        <v>590</v>
      </c>
      <c r="U26" s="384">
        <v>3</v>
      </c>
      <c r="V26" s="384">
        <v>3</v>
      </c>
      <c r="W26" s="382" t="s">
        <v>591</v>
      </c>
      <c r="X26" s="383">
        <v>1479</v>
      </c>
      <c r="Y26" s="382"/>
      <c r="Z26" s="385"/>
      <c r="AA26" s="383"/>
      <c r="AB26" s="383">
        <v>1479</v>
      </c>
      <c r="AC26" s="383" t="s">
        <v>591</v>
      </c>
      <c r="AD26" s="383">
        <f>'8. Общие сведения'!B67*1000</f>
        <v>209.10245999999998</v>
      </c>
      <c r="AE26" s="383"/>
      <c r="AF26" s="384">
        <v>32413596750</v>
      </c>
      <c r="AG26" s="382" t="s">
        <v>592</v>
      </c>
      <c r="AH26" s="385">
        <v>45443</v>
      </c>
      <c r="AI26" s="385">
        <v>45427</v>
      </c>
      <c r="AJ26" s="385">
        <v>45434</v>
      </c>
      <c r="AK26" s="385">
        <v>45450</v>
      </c>
      <c r="AL26" s="386"/>
      <c r="AM26" s="386"/>
      <c r="AN26" s="387"/>
      <c r="AO26" s="386"/>
      <c r="AP26" s="387">
        <v>45474</v>
      </c>
      <c r="AQ26" s="387">
        <v>45474</v>
      </c>
      <c r="AR26" s="387">
        <v>45474</v>
      </c>
      <c r="AS26" s="387">
        <v>45474</v>
      </c>
      <c r="AT26" s="387">
        <v>45597</v>
      </c>
      <c r="AU26" s="386"/>
      <c r="AV26" s="386" t="s">
        <v>593</v>
      </c>
    </row>
    <row r="27" spans="1:48" ht="22.5" x14ac:dyDescent="0.25">
      <c r="A27" s="388"/>
      <c r="B27" s="386"/>
      <c r="C27" s="386"/>
      <c r="D27" s="387"/>
      <c r="E27" s="390"/>
      <c r="F27" s="390"/>
      <c r="G27" s="390"/>
      <c r="H27" s="390"/>
      <c r="I27" s="390"/>
      <c r="J27" s="390"/>
      <c r="K27" s="390"/>
      <c r="L27" s="390"/>
      <c r="M27" s="382"/>
      <c r="N27" s="382"/>
      <c r="O27" s="382"/>
      <c r="P27" s="383"/>
      <c r="Q27" s="382"/>
      <c r="R27" s="383"/>
      <c r="S27" s="382"/>
      <c r="T27" s="382"/>
      <c r="U27" s="384"/>
      <c r="V27" s="384"/>
      <c r="W27" s="382" t="s">
        <v>594</v>
      </c>
      <c r="X27" s="383">
        <v>1636.9712000000002</v>
      </c>
      <c r="Y27" s="382"/>
      <c r="Z27" s="385"/>
      <c r="AA27" s="383"/>
      <c r="AB27" s="383"/>
      <c r="AC27" s="383"/>
      <c r="AD27" s="383"/>
      <c r="AE27" s="383"/>
      <c r="AF27" s="384"/>
      <c r="AG27" s="382"/>
      <c r="AH27" s="385"/>
      <c r="AI27" s="385"/>
      <c r="AJ27" s="385"/>
      <c r="AK27" s="385"/>
      <c r="AL27" s="386"/>
      <c r="AM27" s="386"/>
      <c r="AN27" s="387"/>
      <c r="AO27" s="386"/>
      <c r="AP27" s="387"/>
      <c r="AQ27" s="387"/>
      <c r="AR27" s="387"/>
      <c r="AS27" s="387"/>
      <c r="AT27" s="387"/>
      <c r="AU27" s="386"/>
      <c r="AV27" s="386"/>
    </row>
    <row r="28" spans="1:48" x14ac:dyDescent="0.25">
      <c r="A28" s="388"/>
      <c r="B28" s="386"/>
      <c r="C28" s="386"/>
      <c r="D28" s="387"/>
      <c r="E28" s="390"/>
      <c r="F28" s="390"/>
      <c r="G28" s="390"/>
      <c r="H28" s="390"/>
      <c r="I28" s="390"/>
      <c r="J28" s="390"/>
      <c r="K28" s="390"/>
      <c r="L28" s="390"/>
      <c r="M28" s="382"/>
      <c r="N28" s="382"/>
      <c r="O28" s="382"/>
      <c r="P28" s="383"/>
      <c r="Q28" s="382"/>
      <c r="R28" s="383"/>
      <c r="S28" s="382"/>
      <c r="T28" s="382"/>
      <c r="U28" s="384"/>
      <c r="V28" s="384"/>
      <c r="W28" s="382" t="s">
        <v>595</v>
      </c>
      <c r="X28" s="383">
        <v>1644.36385</v>
      </c>
      <c r="Y28" s="382"/>
      <c r="Z28" s="385"/>
      <c r="AA28" s="383"/>
      <c r="AB28" s="383"/>
      <c r="AC28" s="383"/>
      <c r="AD28" s="383"/>
      <c r="AE28" s="383"/>
      <c r="AF28" s="384"/>
      <c r="AG28" s="382"/>
      <c r="AH28" s="385"/>
      <c r="AI28" s="385"/>
      <c r="AJ28" s="385"/>
      <c r="AK28" s="385"/>
      <c r="AL28" s="386"/>
      <c r="AM28" s="386"/>
      <c r="AN28" s="387"/>
      <c r="AO28" s="386"/>
      <c r="AP28" s="387"/>
      <c r="AQ28" s="387"/>
      <c r="AR28" s="387"/>
      <c r="AS28" s="387"/>
      <c r="AT28" s="387"/>
      <c r="AU28" s="386"/>
      <c r="AV28" s="386"/>
    </row>
    <row r="29" spans="1:48" ht="33.75" x14ac:dyDescent="0.25">
      <c r="A29" s="436">
        <v>2</v>
      </c>
      <c r="B29" s="437" t="s">
        <v>534</v>
      </c>
      <c r="C29" s="437"/>
      <c r="D29" s="438">
        <f>D26</f>
        <v>45930</v>
      </c>
      <c r="E29" s="439"/>
      <c r="F29" s="439"/>
      <c r="G29" s="439">
        <f>G26</f>
        <v>0.25</v>
      </c>
      <c r="H29" s="439"/>
      <c r="I29" s="439">
        <f t="shared" ref="I29:J29" si="41">I26</f>
        <v>1.5990000000000002</v>
      </c>
      <c r="J29" s="439">
        <f t="shared" si="41"/>
        <v>0.38</v>
      </c>
      <c r="K29" s="439"/>
      <c r="L29" s="439"/>
      <c r="M29" s="437" t="s">
        <v>647</v>
      </c>
      <c r="N29" s="440" t="s">
        <v>648</v>
      </c>
      <c r="O29" s="440" t="s">
        <v>534</v>
      </c>
      <c r="P29" s="441">
        <v>19282.53656</v>
      </c>
      <c r="Q29" s="437" t="s">
        <v>649</v>
      </c>
      <c r="R29" s="441">
        <v>19282.53656</v>
      </c>
      <c r="S29" s="437" t="s">
        <v>650</v>
      </c>
      <c r="T29" s="437" t="s">
        <v>650</v>
      </c>
      <c r="U29" s="436">
        <v>5</v>
      </c>
      <c r="V29" s="436">
        <v>5</v>
      </c>
      <c r="W29" s="440" t="s">
        <v>651</v>
      </c>
      <c r="X29" s="441">
        <v>19282.53656</v>
      </c>
      <c r="Y29" s="437"/>
      <c r="Z29" s="442">
        <v>1</v>
      </c>
      <c r="AA29" s="441"/>
      <c r="AB29" s="441">
        <v>18935.4509</v>
      </c>
      <c r="AC29" s="440" t="s">
        <v>651</v>
      </c>
      <c r="AD29" s="441">
        <f>'8. Общие сведения'!B33*1000</f>
        <v>10368.51152</v>
      </c>
      <c r="AE29" s="441"/>
      <c r="AF29" s="436" t="s">
        <v>652</v>
      </c>
      <c r="AG29" s="440" t="s">
        <v>653</v>
      </c>
      <c r="AH29" s="438">
        <v>45838</v>
      </c>
      <c r="AI29" s="438">
        <v>45818</v>
      </c>
      <c r="AJ29" s="438">
        <v>45834</v>
      </c>
      <c r="AK29" s="438">
        <v>45860</v>
      </c>
      <c r="AL29" s="437"/>
      <c r="AM29" s="437"/>
      <c r="AN29" s="438"/>
      <c r="AO29" s="437"/>
      <c r="AP29" s="438">
        <v>45910</v>
      </c>
      <c r="AQ29" s="438">
        <v>45910</v>
      </c>
      <c r="AR29" s="438">
        <v>45910</v>
      </c>
      <c r="AS29" s="438">
        <v>45910</v>
      </c>
      <c r="AT29" s="438">
        <v>46001</v>
      </c>
      <c r="AU29" s="437"/>
      <c r="AV29" s="437"/>
    </row>
    <row r="30" spans="1:48" x14ac:dyDescent="0.25">
      <c r="A30" s="436"/>
      <c r="B30" s="437"/>
      <c r="C30" s="437"/>
      <c r="D30" s="438"/>
      <c r="E30" s="439"/>
      <c r="F30" s="439"/>
      <c r="G30" s="439"/>
      <c r="H30" s="439"/>
      <c r="I30" s="439"/>
      <c r="J30" s="439"/>
      <c r="K30" s="439"/>
      <c r="L30" s="439"/>
      <c r="M30" s="437"/>
      <c r="N30" s="437"/>
      <c r="O30" s="437"/>
      <c r="P30" s="441"/>
      <c r="Q30" s="437"/>
      <c r="R30" s="441"/>
      <c r="S30" s="437"/>
      <c r="T30" s="437"/>
      <c r="U30" s="436"/>
      <c r="V30" s="436"/>
      <c r="W30" s="440" t="s">
        <v>654</v>
      </c>
      <c r="X30" s="441">
        <v>19282.536</v>
      </c>
      <c r="Y30" s="437"/>
      <c r="Z30" s="438"/>
      <c r="AA30" s="441"/>
      <c r="AB30" s="441">
        <v>18903.056240000002</v>
      </c>
      <c r="AC30" s="441"/>
      <c r="AD30" s="441"/>
      <c r="AE30" s="441"/>
      <c r="AF30" s="436"/>
      <c r="AG30" s="437"/>
      <c r="AH30" s="438"/>
      <c r="AI30" s="438"/>
      <c r="AJ30" s="438"/>
      <c r="AK30" s="438"/>
      <c r="AL30" s="437"/>
      <c r="AM30" s="437"/>
      <c r="AN30" s="438"/>
      <c r="AO30" s="437"/>
      <c r="AP30" s="438"/>
      <c r="AQ30" s="438"/>
      <c r="AR30" s="438"/>
      <c r="AS30" s="438"/>
      <c r="AT30" s="438"/>
      <c r="AU30" s="437"/>
      <c r="AV30" s="437"/>
    </row>
    <row r="31" spans="1:48" x14ac:dyDescent="0.25">
      <c r="A31" s="436"/>
      <c r="B31" s="437"/>
      <c r="C31" s="437"/>
      <c r="D31" s="438"/>
      <c r="E31" s="439"/>
      <c r="F31" s="439"/>
      <c r="G31" s="439"/>
      <c r="H31" s="439"/>
      <c r="I31" s="439"/>
      <c r="J31" s="439"/>
      <c r="K31" s="439"/>
      <c r="L31" s="439"/>
      <c r="M31" s="437"/>
      <c r="N31" s="437"/>
      <c r="O31" s="437"/>
      <c r="P31" s="441"/>
      <c r="Q31" s="437"/>
      <c r="R31" s="441"/>
      <c r="S31" s="437"/>
      <c r="T31" s="437"/>
      <c r="U31" s="436"/>
      <c r="V31" s="436"/>
      <c r="W31" s="440" t="s">
        <v>655</v>
      </c>
      <c r="X31" s="441">
        <v>19281.702799999999</v>
      </c>
      <c r="Y31" s="437"/>
      <c r="Z31" s="438"/>
      <c r="AA31" s="441"/>
      <c r="AB31" s="441">
        <v>19112.5</v>
      </c>
      <c r="AC31" s="441"/>
      <c r="AD31" s="441"/>
      <c r="AE31" s="441"/>
      <c r="AF31" s="436"/>
      <c r="AG31" s="437"/>
      <c r="AH31" s="438"/>
      <c r="AI31" s="438"/>
      <c r="AJ31" s="438"/>
      <c r="AK31" s="438"/>
      <c r="AL31" s="437"/>
      <c r="AM31" s="437"/>
      <c r="AN31" s="438"/>
      <c r="AO31" s="437"/>
      <c r="AP31" s="438"/>
      <c r="AQ31" s="438"/>
      <c r="AR31" s="438"/>
      <c r="AS31" s="438"/>
      <c r="AT31" s="438"/>
      <c r="AU31" s="437"/>
      <c r="AV31" s="437"/>
    </row>
    <row r="32" spans="1:48" ht="22.5" x14ac:dyDescent="0.25">
      <c r="A32" s="436"/>
      <c r="B32" s="437"/>
      <c r="C32" s="437"/>
      <c r="D32" s="438"/>
      <c r="E32" s="439"/>
      <c r="F32" s="439"/>
      <c r="G32" s="439"/>
      <c r="H32" s="439"/>
      <c r="I32" s="439"/>
      <c r="J32" s="439"/>
      <c r="K32" s="439"/>
      <c r="L32" s="439"/>
      <c r="M32" s="437"/>
      <c r="N32" s="437"/>
      <c r="O32" s="437"/>
      <c r="P32" s="441"/>
      <c r="Q32" s="437"/>
      <c r="R32" s="441"/>
      <c r="S32" s="437"/>
      <c r="T32" s="437"/>
      <c r="U32" s="436"/>
      <c r="V32" s="436"/>
      <c r="W32" s="440" t="s">
        <v>656</v>
      </c>
      <c r="X32" s="441">
        <v>19282.53656</v>
      </c>
      <c r="Y32" s="437"/>
      <c r="Z32" s="438"/>
      <c r="AA32" s="441"/>
      <c r="AB32" s="441">
        <v>19112.5</v>
      </c>
      <c r="AC32" s="441"/>
      <c r="AD32" s="441"/>
      <c r="AE32" s="441"/>
      <c r="AF32" s="436"/>
      <c r="AG32" s="437"/>
      <c r="AH32" s="438"/>
      <c r="AI32" s="438"/>
      <c r="AJ32" s="438"/>
      <c r="AK32" s="438"/>
      <c r="AL32" s="437"/>
      <c r="AM32" s="437"/>
      <c r="AN32" s="438"/>
      <c r="AO32" s="437"/>
      <c r="AP32" s="438"/>
      <c r="AQ32" s="438"/>
      <c r="AR32" s="438"/>
      <c r="AS32" s="438"/>
      <c r="AT32" s="438"/>
      <c r="AU32" s="437"/>
      <c r="AV32" s="437"/>
    </row>
    <row r="33" spans="1:48" ht="33.75" x14ac:dyDescent="0.25">
      <c r="A33" s="436"/>
      <c r="B33" s="437"/>
      <c r="C33" s="437"/>
      <c r="D33" s="438"/>
      <c r="E33" s="439"/>
      <c r="F33" s="439"/>
      <c r="G33" s="439"/>
      <c r="H33" s="439"/>
      <c r="I33" s="439"/>
      <c r="J33" s="439"/>
      <c r="K33" s="439"/>
      <c r="L33" s="439"/>
      <c r="M33" s="437"/>
      <c r="N33" s="437"/>
      <c r="O33" s="437"/>
      <c r="P33" s="441"/>
      <c r="Q33" s="437"/>
      <c r="R33" s="441"/>
      <c r="S33" s="437"/>
      <c r="T33" s="437"/>
      <c r="U33" s="436"/>
      <c r="V33" s="436"/>
      <c r="W33" s="440" t="s">
        <v>657</v>
      </c>
      <c r="X33" s="441">
        <v>19280.036100000001</v>
      </c>
      <c r="Y33" s="440" t="s">
        <v>657</v>
      </c>
      <c r="Z33" s="438"/>
      <c r="AA33" s="441"/>
      <c r="AB33" s="441"/>
      <c r="AC33" s="441"/>
      <c r="AD33" s="441"/>
      <c r="AE33" s="441"/>
      <c r="AF33" s="436"/>
      <c r="AG33" s="437"/>
      <c r="AH33" s="438"/>
      <c r="AI33" s="438"/>
      <c r="AJ33" s="438"/>
      <c r="AK33" s="438"/>
      <c r="AL33" s="437"/>
      <c r="AM33" s="437"/>
      <c r="AN33" s="438"/>
      <c r="AO33" s="437"/>
      <c r="AP33" s="438"/>
      <c r="AQ33" s="438"/>
      <c r="AR33" s="438"/>
      <c r="AS33" s="438"/>
      <c r="AT33" s="438"/>
      <c r="AU33" s="437"/>
      <c r="AV33" s="437"/>
    </row>
    <row r="34" spans="1:48" x14ac:dyDescent="0.25">
      <c r="AD34" s="389">
        <f>SUM(AD26:AD33)</f>
        <v>10577.61398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4"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513</v>
      </c>
    </row>
    <row r="4" spans="1:8" x14ac:dyDescent="0.25">
      <c r="B4" s="36"/>
    </row>
    <row r="5" spans="1:8" ht="18.75" x14ac:dyDescent="0.3">
      <c r="A5" s="607" t="str">
        <f>'1. паспорт местоположение'!A5:C5</f>
        <v>Год раскрытия информации: 2025 год</v>
      </c>
      <c r="B5" s="607"/>
      <c r="C5" s="60"/>
      <c r="D5" s="60"/>
      <c r="E5" s="60"/>
      <c r="F5" s="60"/>
      <c r="G5" s="60"/>
      <c r="H5" s="60"/>
    </row>
    <row r="6" spans="1:8" ht="18.75" x14ac:dyDescent="0.3">
      <c r="A6" s="293"/>
      <c r="B6" s="293"/>
      <c r="C6" s="293"/>
      <c r="D6" s="293"/>
      <c r="E6" s="293"/>
      <c r="F6" s="293"/>
      <c r="G6" s="293"/>
      <c r="H6" s="293"/>
    </row>
    <row r="7" spans="1:8" ht="18.75" x14ac:dyDescent="0.25">
      <c r="A7" s="473" t="s">
        <v>6</v>
      </c>
      <c r="B7" s="473"/>
      <c r="C7" s="96"/>
      <c r="D7" s="96"/>
      <c r="E7" s="96"/>
      <c r="F7" s="96"/>
      <c r="G7" s="96"/>
      <c r="H7" s="96"/>
    </row>
    <row r="8" spans="1:8" ht="18.75" x14ac:dyDescent="0.25">
      <c r="A8" s="96"/>
      <c r="B8" s="96"/>
      <c r="C8" s="96"/>
      <c r="D8" s="96"/>
      <c r="E8" s="96"/>
      <c r="F8" s="96"/>
      <c r="G8" s="96"/>
      <c r="H8" s="96"/>
    </row>
    <row r="9" spans="1:8" x14ac:dyDescent="0.25">
      <c r="A9" s="467" t="str">
        <f>'7. Паспорт отчет о закупке'!A9:AV9</f>
        <v>Акционерное общество "Россети Янтарь" ДЗО  ПАО "Россети"</v>
      </c>
      <c r="B9" s="467"/>
      <c r="C9" s="105"/>
      <c r="D9" s="105"/>
      <c r="E9" s="105"/>
      <c r="F9" s="105"/>
      <c r="G9" s="105"/>
      <c r="H9" s="105"/>
    </row>
    <row r="10" spans="1:8" x14ac:dyDescent="0.25">
      <c r="A10" s="472" t="s">
        <v>5</v>
      </c>
      <c r="B10" s="472"/>
      <c r="C10" s="97"/>
      <c r="D10" s="97"/>
      <c r="E10" s="97"/>
      <c r="F10" s="97"/>
      <c r="G10" s="97"/>
      <c r="H10" s="97"/>
    </row>
    <row r="11" spans="1:8" ht="18.75" x14ac:dyDescent="0.25">
      <c r="A11" s="96"/>
      <c r="B11" s="96"/>
      <c r="C11" s="96"/>
      <c r="D11" s="96"/>
      <c r="E11" s="96"/>
      <c r="F11" s="96"/>
      <c r="G11" s="96"/>
      <c r="H11" s="96"/>
    </row>
    <row r="12" spans="1:8" x14ac:dyDescent="0.25">
      <c r="A12" s="467" t="str">
        <f>'1. паспорт местоположение'!A12:C12</f>
        <v>N_22-1289</v>
      </c>
      <c r="B12" s="467"/>
      <c r="C12" s="105"/>
      <c r="D12" s="105"/>
      <c r="E12" s="105"/>
      <c r="F12" s="105"/>
      <c r="G12" s="105"/>
      <c r="H12" s="105"/>
    </row>
    <row r="13" spans="1:8" x14ac:dyDescent="0.25">
      <c r="A13" s="472" t="s">
        <v>4</v>
      </c>
      <c r="B13" s="472"/>
      <c r="C13" s="97"/>
      <c r="D13" s="97"/>
      <c r="E13" s="97"/>
      <c r="F13" s="97"/>
      <c r="G13" s="97"/>
      <c r="H13" s="97"/>
    </row>
    <row r="14" spans="1:8" ht="18.75" x14ac:dyDescent="0.25">
      <c r="A14" s="10"/>
      <c r="B14" s="10"/>
      <c r="C14" s="10"/>
      <c r="D14" s="10"/>
      <c r="E14" s="10"/>
      <c r="F14" s="10"/>
      <c r="G14" s="10"/>
      <c r="H14" s="10"/>
    </row>
    <row r="15" spans="1:8" ht="50.45" customHeight="1" x14ac:dyDescent="0.25">
      <c r="A15" s="608" t="str">
        <f>'1. паспорт местоположение'!A15:C15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608"/>
      <c r="C15" s="105"/>
      <c r="D15" s="105"/>
      <c r="E15" s="105"/>
      <c r="F15" s="105"/>
      <c r="G15" s="105"/>
      <c r="H15" s="105"/>
    </row>
    <row r="16" spans="1:8" x14ac:dyDescent="0.25">
      <c r="A16" s="472" t="s">
        <v>3</v>
      </c>
      <c r="B16" s="472"/>
      <c r="C16" s="97"/>
      <c r="D16" s="97"/>
      <c r="E16" s="97"/>
      <c r="F16" s="97"/>
      <c r="G16" s="97"/>
      <c r="H16" s="97"/>
    </row>
    <row r="17" spans="1:4" x14ac:dyDescent="0.25">
      <c r="B17" s="71"/>
    </row>
    <row r="18" spans="1:4" x14ac:dyDescent="0.25">
      <c r="A18" s="609" t="s">
        <v>442</v>
      </c>
      <c r="B18" s="610"/>
    </row>
    <row r="19" spans="1:4" x14ac:dyDescent="0.25">
      <c r="B19" s="36"/>
    </row>
    <row r="20" spans="1:4" ht="16.5" thickBot="1" x14ac:dyDescent="0.3">
      <c r="B20" s="72"/>
    </row>
    <row r="21" spans="1:4" ht="79.5" thickBot="1" x14ac:dyDescent="0.3">
      <c r="A21" s="273" t="s">
        <v>312</v>
      </c>
      <c r="B21" s="284" t="str">
        <f>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row>
    <row r="22" spans="1:4" ht="16.5" thickBot="1" x14ac:dyDescent="0.3">
      <c r="A22" s="73" t="s">
        <v>313</v>
      </c>
      <c r="B22" s="74"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3" t="s">
        <v>295</v>
      </c>
      <c r="B23" s="75" t="s">
        <v>574</v>
      </c>
    </row>
    <row r="24" spans="1:4" ht="16.5" thickBot="1" x14ac:dyDescent="0.3">
      <c r="A24" s="73" t="s">
        <v>314</v>
      </c>
      <c r="B24" s="75" t="str">
        <f>CONCATENATE('3.2 паспорт Техсостояние ЛЭП'!R38," (",ROUND('3.2 паспорт Техсостояние ЛЭП'!S38,3),") км, ",'3.1. паспорт Техсостояние ПС'!O25," (",'3.1. паспорт Техсостояние ПС'!P26,") мВА")</f>
        <v>1,979 (0,045) км, 0,25 (0) мВА</v>
      </c>
    </row>
    <row r="25" spans="1:4" ht="16.5" thickBot="1" x14ac:dyDescent="0.3">
      <c r="A25" s="76" t="s">
        <v>315</v>
      </c>
      <c r="B25" s="74">
        <v>2025</v>
      </c>
    </row>
    <row r="26" spans="1:4" ht="16.5" thickBot="1" x14ac:dyDescent="0.3">
      <c r="A26" s="77" t="s">
        <v>316</v>
      </c>
      <c r="B26" s="78" t="s">
        <v>643</v>
      </c>
    </row>
    <row r="27" spans="1:4" ht="29.25" thickBot="1" x14ac:dyDescent="0.3">
      <c r="A27" s="85" t="s">
        <v>576</v>
      </c>
      <c r="B27" s="236">
        <f>'5. анализ эконом эфф'!B125</f>
        <v>11.332204340000001</v>
      </c>
    </row>
    <row r="28" spans="1:4" ht="16.5" thickBot="1" x14ac:dyDescent="0.3">
      <c r="A28" s="80" t="s">
        <v>317</v>
      </c>
      <c r="B28" s="434" t="s">
        <v>644</v>
      </c>
    </row>
    <row r="29" spans="1:4" ht="29.25" thickBot="1" x14ac:dyDescent="0.3">
      <c r="A29" s="86" t="s">
        <v>318</v>
      </c>
      <c r="B29" s="347">
        <f>'7. Паспорт отчет о закупке'!AD34/1000</f>
        <v>10.577613980000001</v>
      </c>
    </row>
    <row r="30" spans="1:4" ht="29.25" thickBot="1" x14ac:dyDescent="0.3">
      <c r="A30" s="86" t="s">
        <v>319</v>
      </c>
      <c r="B30" s="347">
        <f>B32+B49+B66</f>
        <v>10.577613980000001</v>
      </c>
      <c r="C30" s="49"/>
      <c r="D30" s="49"/>
    </row>
    <row r="31" spans="1:4" ht="16.5" thickBot="1" x14ac:dyDescent="0.3">
      <c r="A31" s="80" t="s">
        <v>320</v>
      </c>
      <c r="B31" s="239"/>
      <c r="C31" s="49"/>
      <c r="D31" s="49"/>
    </row>
    <row r="32" spans="1:4" ht="29.25" thickBot="1" x14ac:dyDescent="0.3">
      <c r="A32" s="86" t="s">
        <v>321</v>
      </c>
      <c r="B32" s="347">
        <f>SUMIF(C33:C48,10,B33:B48)</f>
        <v>10.36851152</v>
      </c>
      <c r="C32" s="49"/>
      <c r="D32" s="49"/>
    </row>
    <row r="33" spans="1:4" s="240" customFormat="1" ht="30.75" thickBot="1" x14ac:dyDescent="0.3">
      <c r="A33" s="443" t="s">
        <v>658</v>
      </c>
      <c r="B33" s="444">
        <f>10.83090247*0+B36</f>
        <v>10.36851152</v>
      </c>
      <c r="C33" s="49">
        <v>10</v>
      </c>
      <c r="D33" s="49"/>
    </row>
    <row r="34" spans="1:4" ht="16.5" thickBot="1" x14ac:dyDescent="0.3">
      <c r="A34" s="445" t="s">
        <v>323</v>
      </c>
      <c r="B34" s="446">
        <f>B33/$B$27</f>
        <v>0.91495980913453945</v>
      </c>
      <c r="C34" s="49"/>
      <c r="D34" s="49"/>
    </row>
    <row r="35" spans="1:4" ht="16.5" thickBot="1" x14ac:dyDescent="0.3">
      <c r="A35" s="445" t="s">
        <v>324</v>
      </c>
      <c r="B35" s="447"/>
      <c r="C35" s="49">
        <v>1</v>
      </c>
      <c r="D35" s="49"/>
    </row>
    <row r="36" spans="1:4" ht="16.5" thickBot="1" x14ac:dyDescent="0.3">
      <c r="A36" s="445" t="s">
        <v>325</v>
      </c>
      <c r="B36" s="447">
        <v>10.36851152</v>
      </c>
      <c r="C36" s="49">
        <v>2</v>
      </c>
      <c r="D36" s="49"/>
    </row>
    <row r="37" spans="1:4" s="240" customFormat="1" ht="16.5" thickBot="1" x14ac:dyDescent="0.3">
      <c r="A37" s="244" t="s">
        <v>322</v>
      </c>
      <c r="B37" s="348"/>
      <c r="C37" s="49">
        <v>10</v>
      </c>
      <c r="D37" s="49"/>
    </row>
    <row r="38" spans="1:4" ht="16.5" thickBot="1" x14ac:dyDescent="0.3">
      <c r="A38" s="80" t="s">
        <v>323</v>
      </c>
      <c r="B38" s="241">
        <f t="shared" ref="B38" si="0">B37/$B$27</f>
        <v>0</v>
      </c>
      <c r="C38" s="49"/>
      <c r="D38" s="49"/>
    </row>
    <row r="39" spans="1:4" ht="16.5" thickBot="1" x14ac:dyDescent="0.3">
      <c r="A39" s="80" t="s">
        <v>324</v>
      </c>
      <c r="B39" s="347"/>
      <c r="C39" s="49">
        <v>1</v>
      </c>
      <c r="D39" s="49"/>
    </row>
    <row r="40" spans="1:4" ht="16.5" thickBot="1" x14ac:dyDescent="0.3">
      <c r="A40" s="80" t="s">
        <v>325</v>
      </c>
      <c r="B40" s="347"/>
      <c r="C40" s="49">
        <v>2</v>
      </c>
      <c r="D40" s="49"/>
    </row>
    <row r="41" spans="1:4" ht="16.5" thickBot="1" x14ac:dyDescent="0.3">
      <c r="A41" s="244" t="s">
        <v>322</v>
      </c>
      <c r="B41" s="348"/>
      <c r="C41" s="49">
        <v>10</v>
      </c>
      <c r="D41" s="49"/>
    </row>
    <row r="42" spans="1:4" s="240" customFormat="1" ht="16.5" thickBot="1" x14ac:dyDescent="0.3">
      <c r="A42" s="80" t="s">
        <v>323</v>
      </c>
      <c r="B42" s="241">
        <f t="shared" ref="B42" si="1">B41/$B$27</f>
        <v>0</v>
      </c>
      <c r="C42" s="49"/>
      <c r="D42" s="49"/>
    </row>
    <row r="43" spans="1:4" ht="16.5" thickBot="1" x14ac:dyDescent="0.3">
      <c r="A43" s="80" t="s">
        <v>324</v>
      </c>
      <c r="B43" s="347"/>
      <c r="C43" s="49">
        <v>1</v>
      </c>
      <c r="D43" s="49"/>
    </row>
    <row r="44" spans="1:4" ht="16.5" thickBot="1" x14ac:dyDescent="0.3">
      <c r="A44" s="80" t="s">
        <v>325</v>
      </c>
      <c r="B44" s="347"/>
      <c r="C44" s="49">
        <v>2</v>
      </c>
      <c r="D44" s="49"/>
    </row>
    <row r="45" spans="1:4" ht="16.5" thickBot="1" x14ac:dyDescent="0.3">
      <c r="A45" s="244" t="s">
        <v>322</v>
      </c>
      <c r="B45" s="348"/>
      <c r="C45" s="49">
        <v>10</v>
      </c>
      <c r="D45" s="49"/>
    </row>
    <row r="46" spans="1:4" s="240" customFormat="1" ht="16.5" thickBot="1" x14ac:dyDescent="0.3">
      <c r="A46" s="80" t="s">
        <v>323</v>
      </c>
      <c r="B46" s="241">
        <f t="shared" ref="B46" si="2">B45/$B$27</f>
        <v>0</v>
      </c>
      <c r="C46" s="49"/>
      <c r="D46" s="49"/>
    </row>
    <row r="47" spans="1:4" ht="16.5" thickBot="1" x14ac:dyDescent="0.3">
      <c r="A47" s="80" t="s">
        <v>324</v>
      </c>
      <c r="B47" s="347"/>
      <c r="C47" s="49">
        <v>1</v>
      </c>
      <c r="D47" s="49"/>
    </row>
    <row r="48" spans="1:4" ht="16.5" thickBot="1" x14ac:dyDescent="0.3">
      <c r="A48" s="80" t="s">
        <v>325</v>
      </c>
      <c r="B48" s="347"/>
      <c r="C48" s="49">
        <v>2</v>
      </c>
      <c r="D48" s="49"/>
    </row>
    <row r="49" spans="1:4" ht="29.25" thickBot="1" x14ac:dyDescent="0.3">
      <c r="A49" s="86" t="s">
        <v>326</v>
      </c>
      <c r="B49" s="347">
        <f>SUMIF(C50:C65,20,B50:B65)</f>
        <v>0</v>
      </c>
      <c r="C49" s="49"/>
      <c r="D49" s="49"/>
    </row>
    <row r="50" spans="1:4" s="240" customFormat="1" ht="16.5" thickBot="1" x14ac:dyDescent="0.3">
      <c r="A50" s="244" t="s">
        <v>322</v>
      </c>
      <c r="B50" s="348"/>
      <c r="C50" s="49">
        <v>20</v>
      </c>
      <c r="D50" s="49"/>
    </row>
    <row r="51" spans="1:4" ht="16.5" thickBot="1" x14ac:dyDescent="0.3">
      <c r="A51" s="80" t="s">
        <v>323</v>
      </c>
      <c r="B51" s="241">
        <f>B50/$B$27</f>
        <v>0</v>
      </c>
      <c r="C51" s="49"/>
      <c r="D51" s="49"/>
    </row>
    <row r="52" spans="1:4" ht="16.5" thickBot="1" x14ac:dyDescent="0.3">
      <c r="A52" s="80" t="s">
        <v>324</v>
      </c>
      <c r="B52" s="347"/>
      <c r="C52" s="49">
        <v>1</v>
      </c>
      <c r="D52" s="49"/>
    </row>
    <row r="53" spans="1:4" ht="16.5" thickBot="1" x14ac:dyDescent="0.3">
      <c r="A53" s="80" t="s">
        <v>325</v>
      </c>
      <c r="B53" s="347"/>
      <c r="C53" s="49">
        <v>2</v>
      </c>
      <c r="D53" s="49"/>
    </row>
    <row r="54" spans="1:4" s="240" customFormat="1" ht="16.5" thickBot="1" x14ac:dyDescent="0.3">
      <c r="A54" s="244" t="s">
        <v>322</v>
      </c>
      <c r="B54" s="348"/>
      <c r="C54" s="49">
        <v>20</v>
      </c>
      <c r="D54" s="49"/>
    </row>
    <row r="55" spans="1:4" ht="16.5" thickBot="1" x14ac:dyDescent="0.3">
      <c r="A55" s="80" t="s">
        <v>323</v>
      </c>
      <c r="B55" s="241">
        <f t="shared" ref="B55" si="3">B54/$B$27</f>
        <v>0</v>
      </c>
      <c r="C55" s="49"/>
      <c r="D55" s="49"/>
    </row>
    <row r="56" spans="1:4" ht="16.5" thickBot="1" x14ac:dyDescent="0.3">
      <c r="A56" s="80" t="s">
        <v>324</v>
      </c>
      <c r="B56" s="347"/>
      <c r="C56" s="49">
        <v>1</v>
      </c>
      <c r="D56" s="49"/>
    </row>
    <row r="57" spans="1:4" ht="16.5" thickBot="1" x14ac:dyDescent="0.3">
      <c r="A57" s="80" t="s">
        <v>325</v>
      </c>
      <c r="B57" s="347"/>
      <c r="C57" s="49">
        <v>2</v>
      </c>
      <c r="D57" s="49"/>
    </row>
    <row r="58" spans="1:4" ht="16.5" thickBot="1" x14ac:dyDescent="0.3">
      <c r="A58" s="244" t="s">
        <v>322</v>
      </c>
      <c r="B58" s="348"/>
      <c r="C58" s="49">
        <v>20</v>
      </c>
      <c r="D58" s="49"/>
    </row>
    <row r="59" spans="1:4" s="240" customFormat="1" ht="16.5" thickBot="1" x14ac:dyDescent="0.3">
      <c r="A59" s="80" t="s">
        <v>323</v>
      </c>
      <c r="B59" s="241">
        <f t="shared" ref="B59" si="4">B58/$B$27</f>
        <v>0</v>
      </c>
      <c r="C59" s="49"/>
      <c r="D59" s="49"/>
    </row>
    <row r="60" spans="1:4" ht="16.5" thickBot="1" x14ac:dyDescent="0.3">
      <c r="A60" s="80" t="s">
        <v>324</v>
      </c>
      <c r="B60" s="347"/>
      <c r="C60" s="49">
        <v>1</v>
      </c>
      <c r="D60" s="49"/>
    </row>
    <row r="61" spans="1:4" ht="16.5" thickBot="1" x14ac:dyDescent="0.3">
      <c r="A61" s="80" t="s">
        <v>325</v>
      </c>
      <c r="B61" s="347"/>
      <c r="C61" s="49">
        <v>2</v>
      </c>
      <c r="D61" s="49"/>
    </row>
    <row r="62" spans="1:4" ht="16.5" thickBot="1" x14ac:dyDescent="0.3">
      <c r="A62" s="244" t="s">
        <v>322</v>
      </c>
      <c r="B62" s="348"/>
      <c r="C62" s="49">
        <v>20</v>
      </c>
      <c r="D62" s="49"/>
    </row>
    <row r="63" spans="1:4" s="240" customFormat="1" ht="16.5" thickBot="1" x14ac:dyDescent="0.3">
      <c r="A63" s="80" t="s">
        <v>323</v>
      </c>
      <c r="B63" s="241">
        <f t="shared" ref="B63" si="5">B62/$B$27</f>
        <v>0</v>
      </c>
      <c r="C63" s="49"/>
      <c r="D63" s="49"/>
    </row>
    <row r="64" spans="1:4" ht="16.5" thickBot="1" x14ac:dyDescent="0.3">
      <c r="A64" s="80" t="s">
        <v>324</v>
      </c>
      <c r="B64" s="347"/>
      <c r="C64" s="49">
        <v>1</v>
      </c>
      <c r="D64" s="49"/>
    </row>
    <row r="65" spans="1:4" ht="16.5" thickBot="1" x14ac:dyDescent="0.3">
      <c r="A65" s="80" t="s">
        <v>325</v>
      </c>
      <c r="B65" s="347"/>
      <c r="C65" s="49">
        <v>2</v>
      </c>
      <c r="D65" s="49"/>
    </row>
    <row r="66" spans="1:4" ht="29.25" thickBot="1" x14ac:dyDescent="0.3">
      <c r="A66" s="86" t="s">
        <v>327</v>
      </c>
      <c r="B66" s="347">
        <f>SUMIF(C67:C82,30,B67:B82)</f>
        <v>0.20910245999999999</v>
      </c>
      <c r="C66" s="49"/>
      <c r="D66" s="49"/>
    </row>
    <row r="67" spans="1:4" s="240" customFormat="1" ht="30.75" thickBot="1" x14ac:dyDescent="0.3">
      <c r="A67" s="391" t="s">
        <v>596</v>
      </c>
      <c r="B67" s="392">
        <v>0.20910245999999999</v>
      </c>
      <c r="C67" s="49">
        <v>30</v>
      </c>
      <c r="D67" s="49"/>
    </row>
    <row r="68" spans="1:4" ht="16.5" thickBot="1" x14ac:dyDescent="0.3">
      <c r="A68" s="80" t="s">
        <v>323</v>
      </c>
      <c r="B68" s="241">
        <f t="shared" ref="B68" si="6">B67/$B$27</f>
        <v>1.8452055198291632E-2</v>
      </c>
      <c r="C68" s="49"/>
      <c r="D68" s="49"/>
    </row>
    <row r="69" spans="1:4" ht="16.5" thickBot="1" x14ac:dyDescent="0.3">
      <c r="A69" s="80" t="s">
        <v>324</v>
      </c>
      <c r="B69" s="347">
        <v>0.20910245999999999</v>
      </c>
      <c r="C69" s="49">
        <v>1</v>
      </c>
      <c r="D69" s="49"/>
    </row>
    <row r="70" spans="1:4" ht="16.5" thickBot="1" x14ac:dyDescent="0.3">
      <c r="A70" s="80" t="s">
        <v>325</v>
      </c>
      <c r="B70" s="347">
        <v>0.20910245999999999</v>
      </c>
      <c r="C70" s="49">
        <v>2</v>
      </c>
      <c r="D70" s="49"/>
    </row>
    <row r="71" spans="1:4" s="240" customFormat="1" ht="16.5" thickBot="1" x14ac:dyDescent="0.3">
      <c r="A71" s="244" t="s">
        <v>322</v>
      </c>
      <c r="B71" s="348"/>
      <c r="C71" s="49">
        <v>30</v>
      </c>
      <c r="D71" s="49"/>
    </row>
    <row r="72" spans="1:4" ht="16.5" thickBot="1" x14ac:dyDescent="0.3">
      <c r="A72" s="80" t="s">
        <v>323</v>
      </c>
      <c r="B72" s="241">
        <f t="shared" ref="B72" si="7">B71/$B$27</f>
        <v>0</v>
      </c>
      <c r="C72" s="49"/>
      <c r="D72" s="49"/>
    </row>
    <row r="73" spans="1:4" ht="16.5" thickBot="1" x14ac:dyDescent="0.3">
      <c r="A73" s="80" t="s">
        <v>324</v>
      </c>
      <c r="B73" s="347"/>
      <c r="C73" s="49">
        <v>1</v>
      </c>
      <c r="D73" s="49"/>
    </row>
    <row r="74" spans="1:4" ht="16.5" thickBot="1" x14ac:dyDescent="0.3">
      <c r="A74" s="80" t="s">
        <v>325</v>
      </c>
      <c r="B74" s="347"/>
      <c r="C74" s="49">
        <v>2</v>
      </c>
      <c r="D74" s="49"/>
    </row>
    <row r="75" spans="1:4" ht="16.5" thickBot="1" x14ac:dyDescent="0.3">
      <c r="A75" s="244" t="s">
        <v>322</v>
      </c>
      <c r="B75" s="348"/>
      <c r="C75" s="49">
        <v>30</v>
      </c>
      <c r="D75" s="49"/>
    </row>
    <row r="76" spans="1:4" ht="16.5" thickBot="1" x14ac:dyDescent="0.3">
      <c r="A76" s="80" t="s">
        <v>323</v>
      </c>
      <c r="B76" s="241">
        <f t="shared" ref="B76" si="8">B75/$B$27</f>
        <v>0</v>
      </c>
      <c r="C76" s="49"/>
      <c r="D76" s="49"/>
    </row>
    <row r="77" spans="1:4" ht="16.5" thickBot="1" x14ac:dyDescent="0.3">
      <c r="A77" s="80" t="s">
        <v>324</v>
      </c>
      <c r="B77" s="347"/>
      <c r="C77" s="49">
        <v>1</v>
      </c>
      <c r="D77" s="49"/>
    </row>
    <row r="78" spans="1:4" ht="16.5" thickBot="1" x14ac:dyDescent="0.3">
      <c r="A78" s="80" t="s">
        <v>325</v>
      </c>
      <c r="B78" s="347"/>
      <c r="C78" s="49">
        <v>2</v>
      </c>
      <c r="D78" s="49"/>
    </row>
    <row r="79" spans="1:4" ht="16.5" thickBot="1" x14ac:dyDescent="0.3">
      <c r="A79" s="244" t="s">
        <v>322</v>
      </c>
      <c r="B79" s="348"/>
      <c r="C79" s="49">
        <v>30</v>
      </c>
      <c r="D79" s="49"/>
    </row>
    <row r="80" spans="1:4" ht="16.5" thickBot="1" x14ac:dyDescent="0.3">
      <c r="A80" s="80" t="s">
        <v>323</v>
      </c>
      <c r="B80" s="241">
        <f t="shared" ref="B80" si="9">B79/$B$27</f>
        <v>0</v>
      </c>
      <c r="C80" s="49"/>
      <c r="D80" s="49"/>
    </row>
    <row r="81" spans="1:4" ht="16.5" thickBot="1" x14ac:dyDescent="0.3">
      <c r="A81" s="80" t="s">
        <v>324</v>
      </c>
      <c r="B81" s="347"/>
      <c r="C81" s="49">
        <v>1</v>
      </c>
      <c r="D81" s="49"/>
    </row>
    <row r="82" spans="1:4" ht="16.5" thickBot="1" x14ac:dyDescent="0.3">
      <c r="A82" s="80" t="s">
        <v>325</v>
      </c>
      <c r="B82" s="347"/>
      <c r="C82" s="49">
        <v>2</v>
      </c>
      <c r="D82" s="49"/>
    </row>
    <row r="83" spans="1:4" ht="29.25" thickBot="1" x14ac:dyDescent="0.3">
      <c r="A83" s="79" t="s">
        <v>328</v>
      </c>
      <c r="B83" s="241">
        <f>B30/B27</f>
        <v>0.93341186433283108</v>
      </c>
      <c r="C83" s="49"/>
      <c r="D83" s="49"/>
    </row>
    <row r="84" spans="1:4" ht="15.6" customHeight="1" thickBot="1" x14ac:dyDescent="0.3">
      <c r="A84" s="81" t="s">
        <v>320</v>
      </c>
      <c r="B84" s="241"/>
      <c r="C84" s="49"/>
      <c r="D84" s="49"/>
    </row>
    <row r="85" spans="1:4" ht="16.5" thickBot="1" x14ac:dyDescent="0.3">
      <c r="A85" s="81" t="s">
        <v>329</v>
      </c>
      <c r="B85" s="241"/>
      <c r="C85" s="49"/>
      <c r="D85" s="49"/>
    </row>
    <row r="86" spans="1:4" ht="16.5" thickBot="1" x14ac:dyDescent="0.3">
      <c r="A86" s="81" t="s">
        <v>330</v>
      </c>
      <c r="B86" s="241"/>
      <c r="C86" s="49"/>
      <c r="D86" s="49"/>
    </row>
    <row r="87" spans="1:4" ht="16.5" thickBot="1" x14ac:dyDescent="0.3">
      <c r="A87" s="81" t="s">
        <v>331</v>
      </c>
      <c r="B87" s="241">
        <f>B68</f>
        <v>1.8452055198291632E-2</v>
      </c>
      <c r="C87" s="49"/>
      <c r="D87" s="49"/>
    </row>
    <row r="88" spans="1:4" s="451" customFormat="1" ht="34.5" customHeight="1" thickBot="1" x14ac:dyDescent="0.3">
      <c r="A88" s="448" t="s">
        <v>659</v>
      </c>
      <c r="B88" s="449">
        <f>SUMIF(C89:C96, 40,B89:B96)</f>
        <v>0.75459036000000002</v>
      </c>
      <c r="C88" s="450"/>
    </row>
    <row r="89" spans="1:4" s="48" customFormat="1" ht="30.75" thickBot="1" x14ac:dyDescent="0.3">
      <c r="A89" s="452" t="s">
        <v>660</v>
      </c>
      <c r="B89" s="453">
        <v>0.75459036000000002</v>
      </c>
      <c r="C89" s="454">
        <v>40</v>
      </c>
    </row>
    <row r="90" spans="1:4" s="48" customFormat="1" ht="16.5" thickBot="1" x14ac:dyDescent="0.3">
      <c r="A90" s="445" t="s">
        <v>323</v>
      </c>
      <c r="B90" s="446">
        <f>B89/$B$27</f>
        <v>6.6588135667168882E-2</v>
      </c>
    </row>
    <row r="91" spans="1:4" s="48" customFormat="1" ht="16.5" thickBot="1" x14ac:dyDescent="0.3">
      <c r="A91" s="445" t="s">
        <v>324</v>
      </c>
      <c r="B91" s="447">
        <f>B89</f>
        <v>0.75459036000000002</v>
      </c>
      <c r="C91" s="48">
        <v>1</v>
      </c>
    </row>
    <row r="92" spans="1:4" s="48" customFormat="1" ht="16.5" thickBot="1" x14ac:dyDescent="0.3">
      <c r="A92" s="445" t="s">
        <v>325</v>
      </c>
      <c r="B92" s="447">
        <f>B89</f>
        <v>0.75459036000000002</v>
      </c>
      <c r="C92" s="48">
        <v>2</v>
      </c>
    </row>
    <row r="93" spans="1:4" ht="16.5" thickBot="1" x14ac:dyDescent="0.3">
      <c r="A93" s="76" t="s">
        <v>332</v>
      </c>
      <c r="B93" s="242">
        <f>B94/$B$27</f>
        <v>8.504019086546051E-2</v>
      </c>
      <c r="C93" s="49"/>
      <c r="D93" s="49"/>
    </row>
    <row r="94" spans="1:4" ht="16.5" thickBot="1" x14ac:dyDescent="0.3">
      <c r="A94" s="76" t="s">
        <v>333</v>
      </c>
      <c r="B94" s="349">
        <f xml:space="preserve"> SUMIF(C33:C92, 1,B33:B92)</f>
        <v>0.96369282000000001</v>
      </c>
      <c r="C94" s="393">
        <f>'6.2. Паспорт фин осв ввод'!D24-'6.2. Паспорт фин осв ввод'!F24</f>
        <v>-9.5458094100000004</v>
      </c>
      <c r="D94" s="49"/>
    </row>
    <row r="95" spans="1:4" ht="16.5" thickBot="1" x14ac:dyDescent="0.3">
      <c r="A95" s="76" t="s">
        <v>334</v>
      </c>
      <c r="B95" s="242">
        <f>B96/$B$27</f>
        <v>1</v>
      </c>
      <c r="C95" s="393"/>
      <c r="D95" s="49"/>
    </row>
    <row r="96" spans="1:4" ht="16.5" thickBot="1" x14ac:dyDescent="0.3">
      <c r="A96" s="77" t="s">
        <v>335</v>
      </c>
      <c r="B96" s="349">
        <f xml:space="preserve"> SUMIF(C33:C92, 2,B33:B92)</f>
        <v>11.332204340000001</v>
      </c>
      <c r="C96" s="393">
        <f>'6.2. Паспорт фин осв ввод'!D30-'6.2. Паспорт фин осв ввод'!F30</f>
        <v>-7.7457387200000003</v>
      </c>
      <c r="D96" s="49"/>
    </row>
    <row r="97" spans="1:4" ht="30" x14ac:dyDescent="0.25">
      <c r="A97" s="79" t="s">
        <v>336</v>
      </c>
      <c r="B97" s="81" t="s">
        <v>337</v>
      </c>
      <c r="C97" s="49"/>
      <c r="D97" s="49"/>
    </row>
    <row r="98" spans="1:4" x14ac:dyDescent="0.25">
      <c r="A98" s="83" t="s">
        <v>338</v>
      </c>
      <c r="B98" s="83" t="s">
        <v>534</v>
      </c>
      <c r="C98" s="49"/>
      <c r="D98" s="49"/>
    </row>
    <row r="99" spans="1:4" x14ac:dyDescent="0.25">
      <c r="A99" s="83" t="s">
        <v>339</v>
      </c>
      <c r="B99" s="83" t="s">
        <v>597</v>
      </c>
      <c r="C99" s="49"/>
      <c r="D99" s="49"/>
    </row>
    <row r="100" spans="1:4" x14ac:dyDescent="0.25">
      <c r="A100" s="83" t="s">
        <v>340</v>
      </c>
      <c r="B100" s="83"/>
      <c r="C100" s="49"/>
      <c r="D100" s="49"/>
    </row>
    <row r="101" spans="1:4" x14ac:dyDescent="0.25">
      <c r="A101" s="83" t="s">
        <v>341</v>
      </c>
      <c r="B101" s="83" t="s">
        <v>662</v>
      </c>
      <c r="C101" s="49"/>
      <c r="D101" s="49"/>
    </row>
    <row r="102" spans="1:4" ht="16.5" thickBot="1" x14ac:dyDescent="0.3">
      <c r="A102" s="84" t="s">
        <v>342</v>
      </c>
      <c r="B102" s="84"/>
      <c r="C102" s="49"/>
      <c r="D102" s="49"/>
    </row>
    <row r="103" spans="1:4" ht="30.75" thickBot="1" x14ac:dyDescent="0.3">
      <c r="A103" s="81" t="s">
        <v>343</v>
      </c>
      <c r="B103" s="82" t="s">
        <v>502</v>
      </c>
      <c r="C103" s="49"/>
      <c r="D103" s="49"/>
    </row>
    <row r="104" spans="1:4" ht="29.25" thickBot="1" x14ac:dyDescent="0.3">
      <c r="A104" s="76" t="s">
        <v>344</v>
      </c>
      <c r="B104" s="350">
        <v>7</v>
      </c>
      <c r="C104" s="49"/>
      <c r="D104" s="49"/>
    </row>
    <row r="105" spans="1:4" ht="16.5" thickBot="1" x14ac:dyDescent="0.3">
      <c r="A105" s="81" t="s">
        <v>320</v>
      </c>
      <c r="B105" s="351"/>
      <c r="C105" s="49"/>
      <c r="D105" s="49"/>
    </row>
    <row r="106" spans="1:4" ht="28.5" customHeight="1" thickBot="1" x14ac:dyDescent="0.3">
      <c r="A106" s="81" t="s">
        <v>345</v>
      </c>
      <c r="B106" s="350">
        <v>4</v>
      </c>
      <c r="C106" s="49"/>
      <c r="D106" s="49"/>
    </row>
    <row r="107" spans="1:4" ht="16.5" thickBot="1" x14ac:dyDescent="0.3">
      <c r="A107" s="81" t="s">
        <v>346</v>
      </c>
      <c r="B107" s="350">
        <v>3</v>
      </c>
      <c r="C107" s="49"/>
      <c r="D107" s="49"/>
    </row>
    <row r="108" spans="1:4" ht="16.5" thickBot="1" x14ac:dyDescent="0.3">
      <c r="A108" s="88" t="s">
        <v>347</v>
      </c>
      <c r="B108" s="89" t="s">
        <v>575</v>
      </c>
      <c r="C108" s="49"/>
      <c r="D108" s="49"/>
    </row>
    <row r="109" spans="1:4" ht="16.5" thickBot="1" x14ac:dyDescent="0.3">
      <c r="A109" s="76" t="s">
        <v>348</v>
      </c>
      <c r="B109" s="87"/>
      <c r="C109" s="49"/>
      <c r="D109" s="49"/>
    </row>
    <row r="110" spans="1:4" ht="16.5" thickBot="1" x14ac:dyDescent="0.3">
      <c r="A110" s="83" t="s">
        <v>349</v>
      </c>
      <c r="B110" s="352" t="str">
        <f>'6.1. Паспорт сетевой график'!H43</f>
        <v>не требуется</v>
      </c>
      <c r="C110" s="49"/>
      <c r="D110" s="49"/>
    </row>
    <row r="111" spans="1:4" ht="16.5" thickBot="1" x14ac:dyDescent="0.3">
      <c r="A111" s="83" t="s">
        <v>350</v>
      </c>
      <c r="B111" s="89" t="s">
        <v>502</v>
      </c>
      <c r="C111" s="49"/>
      <c r="D111" s="49"/>
    </row>
    <row r="112" spans="1:4" ht="16.5" thickBot="1" x14ac:dyDescent="0.3">
      <c r="A112" s="83" t="s">
        <v>351</v>
      </c>
      <c r="B112" s="89" t="s">
        <v>502</v>
      </c>
      <c r="C112" s="49"/>
      <c r="D112" s="49"/>
    </row>
    <row r="113" spans="1:4" ht="30.75" thickBot="1" x14ac:dyDescent="0.3">
      <c r="A113" s="353" t="s">
        <v>352</v>
      </c>
      <c r="B113" s="455" t="s">
        <v>661</v>
      </c>
      <c r="C113" s="49"/>
      <c r="D113" s="49"/>
    </row>
    <row r="114" spans="1:4" ht="28.5" x14ac:dyDescent="0.25">
      <c r="A114" s="79" t="s">
        <v>353</v>
      </c>
      <c r="B114" s="604" t="s">
        <v>501</v>
      </c>
      <c r="C114" s="49"/>
      <c r="D114" s="49"/>
    </row>
    <row r="115" spans="1:4" x14ac:dyDescent="0.25">
      <c r="A115" s="83" t="s">
        <v>354</v>
      </c>
      <c r="B115" s="605"/>
      <c r="C115" s="49"/>
      <c r="D115" s="49"/>
    </row>
    <row r="116" spans="1:4" x14ac:dyDescent="0.25">
      <c r="A116" s="83" t="s">
        <v>355</v>
      </c>
      <c r="B116" s="605"/>
      <c r="C116" s="49"/>
      <c r="D116" s="49"/>
    </row>
    <row r="117" spans="1:4" x14ac:dyDescent="0.25">
      <c r="A117" s="83" t="s">
        <v>356</v>
      </c>
      <c r="B117" s="605"/>
      <c r="C117" s="49"/>
      <c r="D117" s="49"/>
    </row>
    <row r="118" spans="1:4" x14ac:dyDescent="0.25">
      <c r="A118" s="83" t="s">
        <v>357</v>
      </c>
      <c r="B118" s="605"/>
      <c r="C118" s="49"/>
      <c r="D118" s="49"/>
    </row>
    <row r="119" spans="1:4" ht="16.5" thickBot="1" x14ac:dyDescent="0.3">
      <c r="A119" s="90" t="s">
        <v>358</v>
      </c>
      <c r="B119" s="606"/>
      <c r="C119" s="49"/>
      <c r="D119" s="49"/>
    </row>
  </sheetData>
  <mergeCells count="10">
    <mergeCell ref="B114:B119"/>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9"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row>
    <row r="5" spans="1:28" s="11" customFormat="1" ht="15.75" x14ac:dyDescent="0.2">
      <c r="A5" s="16"/>
    </row>
    <row r="6" spans="1:28" s="11" customFormat="1" ht="18.75" x14ac:dyDescent="0.2">
      <c r="A6" s="473" t="s">
        <v>6</v>
      </c>
      <c r="B6" s="473"/>
      <c r="C6" s="473"/>
      <c r="D6" s="473"/>
      <c r="E6" s="473"/>
      <c r="F6" s="473"/>
      <c r="G6" s="473"/>
      <c r="H6" s="473"/>
      <c r="I6" s="473"/>
      <c r="J6" s="473"/>
      <c r="K6" s="473"/>
      <c r="L6" s="473"/>
      <c r="M6" s="473"/>
      <c r="N6" s="473"/>
      <c r="O6" s="473"/>
      <c r="P6" s="473"/>
      <c r="Q6" s="473"/>
      <c r="R6" s="473"/>
      <c r="S6" s="473"/>
      <c r="T6" s="12"/>
      <c r="U6" s="12"/>
      <c r="V6" s="12"/>
      <c r="W6" s="12"/>
      <c r="X6" s="12"/>
      <c r="Y6" s="12"/>
      <c r="Z6" s="12"/>
      <c r="AA6" s="12"/>
      <c r="AB6" s="12"/>
    </row>
    <row r="7" spans="1:28" s="11" customFormat="1" ht="18.75" x14ac:dyDescent="0.2">
      <c r="A7" s="473"/>
      <c r="B7" s="473"/>
      <c r="C7" s="473"/>
      <c r="D7" s="473"/>
      <c r="E7" s="473"/>
      <c r="F7" s="473"/>
      <c r="G7" s="473"/>
      <c r="H7" s="473"/>
      <c r="I7" s="473"/>
      <c r="J7" s="473"/>
      <c r="K7" s="473"/>
      <c r="L7" s="473"/>
      <c r="M7" s="473"/>
      <c r="N7" s="473"/>
      <c r="O7" s="473"/>
      <c r="P7" s="473"/>
      <c r="Q7" s="473"/>
      <c r="R7" s="473"/>
      <c r="S7" s="473"/>
      <c r="T7" s="12"/>
      <c r="U7" s="12"/>
      <c r="V7" s="12"/>
      <c r="W7" s="12"/>
      <c r="X7" s="12"/>
      <c r="Y7" s="12"/>
      <c r="Z7" s="12"/>
      <c r="AA7" s="12"/>
      <c r="AB7" s="12"/>
    </row>
    <row r="8" spans="1:28" s="11" customFormat="1" ht="18.75" x14ac:dyDescent="0.2">
      <c r="A8" s="467" t="str">
        <f>'1. паспорт местоположение'!A9:C9</f>
        <v>Акционерное общество "Россети Янтарь" ДЗО  ПАО "Россети"</v>
      </c>
      <c r="B8" s="467"/>
      <c r="C8" s="467"/>
      <c r="D8" s="467"/>
      <c r="E8" s="467"/>
      <c r="F8" s="467"/>
      <c r="G8" s="467"/>
      <c r="H8" s="467"/>
      <c r="I8" s="467"/>
      <c r="J8" s="467"/>
      <c r="K8" s="467"/>
      <c r="L8" s="467"/>
      <c r="M8" s="467"/>
      <c r="N8" s="467"/>
      <c r="O8" s="467"/>
      <c r="P8" s="467"/>
      <c r="Q8" s="467"/>
      <c r="R8" s="467"/>
      <c r="S8" s="467"/>
      <c r="T8" s="12"/>
      <c r="U8" s="12"/>
      <c r="V8" s="12"/>
      <c r="W8" s="12"/>
      <c r="X8" s="12"/>
      <c r="Y8" s="12"/>
      <c r="Z8" s="12"/>
      <c r="AA8" s="12"/>
      <c r="AB8" s="12"/>
    </row>
    <row r="9" spans="1:28" s="11" customFormat="1" ht="18.75" x14ac:dyDescent="0.2">
      <c r="A9" s="472" t="s">
        <v>5</v>
      </c>
      <c r="B9" s="472"/>
      <c r="C9" s="472"/>
      <c r="D9" s="472"/>
      <c r="E9" s="472"/>
      <c r="F9" s="472"/>
      <c r="G9" s="472"/>
      <c r="H9" s="472"/>
      <c r="I9" s="472"/>
      <c r="J9" s="472"/>
      <c r="K9" s="472"/>
      <c r="L9" s="472"/>
      <c r="M9" s="472"/>
      <c r="N9" s="472"/>
      <c r="O9" s="472"/>
      <c r="P9" s="472"/>
      <c r="Q9" s="472"/>
      <c r="R9" s="472"/>
      <c r="S9" s="472"/>
      <c r="T9" s="12"/>
      <c r="U9" s="12"/>
      <c r="V9" s="12"/>
      <c r="W9" s="12"/>
      <c r="X9" s="12"/>
      <c r="Y9" s="12"/>
      <c r="Z9" s="12"/>
      <c r="AA9" s="12"/>
      <c r="AB9" s="12"/>
    </row>
    <row r="10" spans="1:28" s="11" customFormat="1" ht="18.75" x14ac:dyDescent="0.2">
      <c r="A10" s="473"/>
      <c r="B10" s="473"/>
      <c r="C10" s="473"/>
      <c r="D10" s="473"/>
      <c r="E10" s="473"/>
      <c r="F10" s="473"/>
      <c r="G10" s="473"/>
      <c r="H10" s="473"/>
      <c r="I10" s="473"/>
      <c r="J10" s="473"/>
      <c r="K10" s="473"/>
      <c r="L10" s="473"/>
      <c r="M10" s="473"/>
      <c r="N10" s="473"/>
      <c r="O10" s="473"/>
      <c r="P10" s="473"/>
      <c r="Q10" s="473"/>
      <c r="R10" s="473"/>
      <c r="S10" s="473"/>
      <c r="T10" s="12"/>
      <c r="U10" s="12"/>
      <c r="V10" s="12"/>
      <c r="W10" s="12"/>
      <c r="X10" s="12"/>
      <c r="Y10" s="12"/>
      <c r="Z10" s="12"/>
      <c r="AA10" s="12"/>
      <c r="AB10" s="12"/>
    </row>
    <row r="11" spans="1:28" s="11" customFormat="1" ht="18.75" x14ac:dyDescent="0.2">
      <c r="A11" s="467" t="str">
        <f>'1. паспорт местоположение'!A12:C12</f>
        <v>N_22-1289</v>
      </c>
      <c r="B11" s="467"/>
      <c r="C11" s="467"/>
      <c r="D11" s="467"/>
      <c r="E11" s="467"/>
      <c r="F11" s="467"/>
      <c r="G11" s="467"/>
      <c r="H11" s="467"/>
      <c r="I11" s="467"/>
      <c r="J11" s="467"/>
      <c r="K11" s="467"/>
      <c r="L11" s="467"/>
      <c r="M11" s="467"/>
      <c r="N11" s="467"/>
      <c r="O11" s="467"/>
      <c r="P11" s="467"/>
      <c r="Q11" s="467"/>
      <c r="R11" s="467"/>
      <c r="S11" s="467"/>
      <c r="T11" s="12"/>
      <c r="U11" s="12"/>
      <c r="V11" s="12"/>
      <c r="W11" s="12"/>
      <c r="X11" s="12"/>
      <c r="Y11" s="12"/>
      <c r="Z11" s="12"/>
      <c r="AA11" s="12"/>
      <c r="AB11" s="12"/>
    </row>
    <row r="12" spans="1:28" s="11" customFormat="1" ht="18.75" x14ac:dyDescent="0.2">
      <c r="A12" s="472" t="s">
        <v>4</v>
      </c>
      <c r="B12" s="472"/>
      <c r="C12" s="472"/>
      <c r="D12" s="472"/>
      <c r="E12" s="472"/>
      <c r="F12" s="472"/>
      <c r="G12" s="472"/>
      <c r="H12" s="472"/>
      <c r="I12" s="472"/>
      <c r="J12" s="472"/>
      <c r="K12" s="472"/>
      <c r="L12" s="472"/>
      <c r="M12" s="472"/>
      <c r="N12" s="472"/>
      <c r="O12" s="472"/>
      <c r="P12" s="472"/>
      <c r="Q12" s="472"/>
      <c r="R12" s="472"/>
      <c r="S12" s="472"/>
      <c r="T12" s="12"/>
      <c r="U12" s="12"/>
      <c r="V12" s="12"/>
      <c r="W12" s="12"/>
      <c r="X12" s="12"/>
      <c r="Y12" s="12"/>
      <c r="Z12" s="12"/>
      <c r="AA12" s="12"/>
      <c r="AB12" s="12"/>
    </row>
    <row r="13" spans="1:28" s="8" customFormat="1" ht="15.75" customHeight="1" x14ac:dyDescent="0.2">
      <c r="A13" s="474"/>
      <c r="B13" s="474"/>
      <c r="C13" s="474"/>
      <c r="D13" s="474"/>
      <c r="E13" s="474"/>
      <c r="F13" s="474"/>
      <c r="G13" s="474"/>
      <c r="H13" s="474"/>
      <c r="I13" s="474"/>
      <c r="J13" s="474"/>
      <c r="K13" s="474"/>
      <c r="L13" s="474"/>
      <c r="M13" s="474"/>
      <c r="N13" s="474"/>
      <c r="O13" s="474"/>
      <c r="P13" s="474"/>
      <c r="Q13" s="474"/>
      <c r="R13" s="474"/>
      <c r="S13" s="474"/>
      <c r="T13" s="9"/>
      <c r="U13" s="9"/>
      <c r="V13" s="9"/>
      <c r="W13" s="9"/>
      <c r="X13" s="9"/>
      <c r="Y13" s="9"/>
      <c r="Z13" s="9"/>
      <c r="AA13" s="9"/>
      <c r="AB13" s="9"/>
    </row>
    <row r="14" spans="1:28" s="3" customFormat="1" ht="12" x14ac:dyDescent="0.2">
      <c r="A14" s="467" t="str">
        <f>'1. паспорт местоположение'!A9:C9</f>
        <v>Акционерное общество "Россети Янтарь" ДЗО  ПАО "Россети"</v>
      </c>
      <c r="B14" s="467"/>
      <c r="C14" s="467"/>
      <c r="D14" s="467"/>
      <c r="E14" s="467"/>
      <c r="F14" s="467"/>
      <c r="G14" s="467"/>
      <c r="H14" s="467"/>
      <c r="I14" s="467"/>
      <c r="J14" s="467"/>
      <c r="K14" s="467"/>
      <c r="L14" s="467"/>
      <c r="M14" s="467"/>
      <c r="N14" s="467"/>
      <c r="O14" s="467"/>
      <c r="P14" s="467"/>
      <c r="Q14" s="467"/>
      <c r="R14" s="467"/>
      <c r="S14" s="467"/>
      <c r="T14" s="7"/>
      <c r="U14" s="7"/>
      <c r="V14" s="7"/>
      <c r="W14" s="7"/>
      <c r="X14" s="7"/>
      <c r="Y14" s="7"/>
      <c r="Z14" s="7"/>
      <c r="AA14" s="7"/>
      <c r="AB14" s="7"/>
    </row>
    <row r="15" spans="1:28" s="3" customFormat="1" ht="28.5" customHeight="1" x14ac:dyDescent="0.25">
      <c r="A15" s="468" t="str">
        <f>'1. паспорт местоположение'!A15:C15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468"/>
      <c r="C15" s="468"/>
      <c r="D15" s="468"/>
      <c r="E15" s="468"/>
      <c r="F15" s="468"/>
      <c r="G15" s="468"/>
      <c r="H15" s="468"/>
      <c r="I15" s="468"/>
      <c r="J15" s="468"/>
      <c r="K15" s="468"/>
      <c r="L15" s="468"/>
      <c r="M15" s="468"/>
      <c r="N15" s="468"/>
      <c r="O15" s="468"/>
      <c r="P15" s="468"/>
      <c r="Q15" s="468"/>
      <c r="R15" s="468"/>
      <c r="S15" s="468"/>
      <c r="T15" s="5"/>
      <c r="U15" s="5"/>
      <c r="V15" s="5"/>
      <c r="W15" s="5"/>
      <c r="X15" s="5"/>
      <c r="Y15" s="5"/>
      <c r="Z15" s="5"/>
      <c r="AA15" s="5"/>
      <c r="AB15" s="5"/>
    </row>
    <row r="16" spans="1:28" s="3" customFormat="1" ht="15" customHeight="1" x14ac:dyDescent="0.2">
      <c r="A16" s="469"/>
      <c r="B16" s="469"/>
      <c r="C16" s="469"/>
      <c r="D16" s="469"/>
      <c r="E16" s="469"/>
      <c r="F16" s="469"/>
      <c r="G16" s="469"/>
      <c r="H16" s="469"/>
      <c r="I16" s="469"/>
      <c r="J16" s="469"/>
      <c r="K16" s="469"/>
      <c r="L16" s="469"/>
      <c r="M16" s="469"/>
      <c r="N16" s="469"/>
      <c r="O16" s="469"/>
      <c r="P16" s="469"/>
      <c r="Q16" s="469"/>
      <c r="R16" s="469"/>
      <c r="S16" s="469"/>
      <c r="T16" s="4"/>
      <c r="U16" s="4"/>
      <c r="V16" s="4"/>
      <c r="W16" s="4"/>
      <c r="X16" s="4"/>
      <c r="Y16" s="4"/>
    </row>
    <row r="17" spans="1:28" s="3" customFormat="1" ht="45.75" customHeight="1" x14ac:dyDescent="0.2">
      <c r="A17" s="470" t="s">
        <v>417</v>
      </c>
      <c r="B17" s="470"/>
      <c r="C17" s="470"/>
      <c r="D17" s="470"/>
      <c r="E17" s="470"/>
      <c r="F17" s="470"/>
      <c r="G17" s="470"/>
      <c r="H17" s="470"/>
      <c r="I17" s="470"/>
      <c r="J17" s="470"/>
      <c r="K17" s="470"/>
      <c r="L17" s="470"/>
      <c r="M17" s="470"/>
      <c r="N17" s="470"/>
      <c r="O17" s="470"/>
      <c r="P17" s="470"/>
      <c r="Q17" s="470"/>
      <c r="R17" s="470"/>
      <c r="S17" s="470"/>
      <c r="T17" s="6"/>
      <c r="U17" s="6"/>
      <c r="V17" s="6"/>
      <c r="W17" s="6"/>
      <c r="X17" s="6"/>
      <c r="Y17" s="6"/>
      <c r="Z17" s="6"/>
      <c r="AA17" s="6"/>
      <c r="AB17" s="6"/>
    </row>
    <row r="18" spans="1:28" s="3" customFormat="1" ht="15" customHeight="1" x14ac:dyDescent="0.2">
      <c r="A18" s="471"/>
      <c r="B18" s="471"/>
      <c r="C18" s="471"/>
      <c r="D18" s="471"/>
      <c r="E18" s="471"/>
      <c r="F18" s="471"/>
      <c r="G18" s="471"/>
      <c r="H18" s="471"/>
      <c r="I18" s="471"/>
      <c r="J18" s="471"/>
      <c r="K18" s="471"/>
      <c r="L18" s="471"/>
      <c r="M18" s="471"/>
      <c r="N18" s="471"/>
      <c r="O18" s="471"/>
      <c r="P18" s="471"/>
      <c r="Q18" s="471"/>
      <c r="R18" s="471"/>
      <c r="S18" s="471"/>
      <c r="T18" s="4"/>
      <c r="U18" s="4"/>
      <c r="V18" s="4"/>
      <c r="W18" s="4"/>
      <c r="X18" s="4"/>
      <c r="Y18" s="4"/>
    </row>
    <row r="19" spans="1:28" s="3" customFormat="1" ht="54" customHeight="1" x14ac:dyDescent="0.2">
      <c r="A19" s="475" t="s">
        <v>2</v>
      </c>
      <c r="B19" s="475" t="s">
        <v>93</v>
      </c>
      <c r="C19" s="476" t="s">
        <v>311</v>
      </c>
      <c r="D19" s="475" t="s">
        <v>310</v>
      </c>
      <c r="E19" s="475" t="s">
        <v>92</v>
      </c>
      <c r="F19" s="475" t="s">
        <v>91</v>
      </c>
      <c r="G19" s="475" t="s">
        <v>306</v>
      </c>
      <c r="H19" s="475" t="s">
        <v>90</v>
      </c>
      <c r="I19" s="475" t="s">
        <v>89</v>
      </c>
      <c r="J19" s="475" t="s">
        <v>88</v>
      </c>
      <c r="K19" s="475" t="s">
        <v>87</v>
      </c>
      <c r="L19" s="475" t="s">
        <v>86</v>
      </c>
      <c r="M19" s="475" t="s">
        <v>85</v>
      </c>
      <c r="N19" s="475" t="s">
        <v>84</v>
      </c>
      <c r="O19" s="475" t="s">
        <v>83</v>
      </c>
      <c r="P19" s="475" t="s">
        <v>82</v>
      </c>
      <c r="Q19" s="475" t="s">
        <v>309</v>
      </c>
      <c r="R19" s="475"/>
      <c r="S19" s="478" t="s">
        <v>411</v>
      </c>
      <c r="T19" s="4"/>
      <c r="U19" s="4"/>
      <c r="V19" s="4"/>
      <c r="W19" s="4"/>
      <c r="X19" s="4"/>
      <c r="Y19" s="4"/>
    </row>
    <row r="20" spans="1:28" s="3" customFormat="1" ht="180.75" customHeight="1" x14ac:dyDescent="0.2">
      <c r="A20" s="475"/>
      <c r="B20" s="475"/>
      <c r="C20" s="477"/>
      <c r="D20" s="475"/>
      <c r="E20" s="475"/>
      <c r="F20" s="475"/>
      <c r="G20" s="475"/>
      <c r="H20" s="475"/>
      <c r="I20" s="475"/>
      <c r="J20" s="475"/>
      <c r="K20" s="475"/>
      <c r="L20" s="475"/>
      <c r="M20" s="475"/>
      <c r="N20" s="475"/>
      <c r="O20" s="475"/>
      <c r="P20" s="475"/>
      <c r="Q20" s="34" t="s">
        <v>307</v>
      </c>
      <c r="R20" s="35" t="s">
        <v>308</v>
      </c>
      <c r="S20" s="478"/>
      <c r="T20" s="27"/>
      <c r="U20" s="27"/>
      <c r="V20" s="27"/>
      <c r="W20" s="27"/>
      <c r="X20" s="27"/>
      <c r="Y20" s="27"/>
      <c r="Z20" s="26"/>
      <c r="AA20" s="26"/>
      <c r="AB20" s="26"/>
    </row>
    <row r="21" spans="1:28" s="3" customFormat="1" ht="18.75" x14ac:dyDescent="0.2">
      <c r="A21" s="34">
        <v>1</v>
      </c>
      <c r="B21" s="37">
        <v>2</v>
      </c>
      <c r="C21" s="34">
        <v>3</v>
      </c>
      <c r="D21" s="37">
        <v>4</v>
      </c>
      <c r="E21" s="34">
        <v>5</v>
      </c>
      <c r="F21" s="37">
        <v>6</v>
      </c>
      <c r="G21" s="94">
        <v>7</v>
      </c>
      <c r="H21" s="95">
        <v>8</v>
      </c>
      <c r="I21" s="94">
        <v>9</v>
      </c>
      <c r="J21" s="95">
        <v>10</v>
      </c>
      <c r="K21" s="94">
        <v>11</v>
      </c>
      <c r="L21" s="95">
        <v>12</v>
      </c>
      <c r="M21" s="94">
        <v>13</v>
      </c>
      <c r="N21" s="95">
        <v>14</v>
      </c>
      <c r="O21" s="94">
        <v>15</v>
      </c>
      <c r="P21" s="95">
        <v>16</v>
      </c>
      <c r="Q21" s="94">
        <v>17</v>
      </c>
      <c r="R21" s="95">
        <v>18</v>
      </c>
      <c r="S21" s="94">
        <v>19</v>
      </c>
      <c r="T21" s="27"/>
      <c r="U21" s="27"/>
      <c r="V21" s="27"/>
      <c r="W21" s="27"/>
      <c r="X21" s="27"/>
      <c r="Y21" s="27"/>
      <c r="Z21" s="26"/>
      <c r="AA21" s="26"/>
      <c r="AB21" s="26"/>
    </row>
    <row r="22" spans="1:28" s="3" customFormat="1" ht="18.75" x14ac:dyDescent="0.2">
      <c r="A22" s="238">
        <v>1</v>
      </c>
      <c r="B22" s="247"/>
      <c r="C22" s="238"/>
      <c r="D22" s="246"/>
      <c r="E22" s="247"/>
      <c r="F22" s="246"/>
      <c r="G22" s="247"/>
      <c r="H22" s="246"/>
      <c r="I22" s="247"/>
      <c r="J22" s="246"/>
      <c r="K22" s="247"/>
      <c r="L22" s="246"/>
      <c r="M22" s="247"/>
      <c r="N22" s="246"/>
      <c r="O22" s="247"/>
      <c r="P22" s="246"/>
      <c r="Q22" s="269"/>
      <c r="R22" s="248"/>
      <c r="S22" s="268"/>
      <c r="W22" s="27"/>
      <c r="X22" s="27"/>
      <c r="Y22" s="27"/>
      <c r="Z22" s="26"/>
      <c r="AA22" s="26"/>
      <c r="AB22" s="26"/>
    </row>
    <row r="23" spans="1:28" ht="20.25" customHeight="1" x14ac:dyDescent="0.25">
      <c r="A23" s="67"/>
      <c r="B23" s="37" t="s">
        <v>304</v>
      </c>
      <c r="C23" s="37"/>
      <c r="D23" s="37"/>
      <c r="E23" s="67" t="s">
        <v>305</v>
      </c>
      <c r="F23" s="67" t="s">
        <v>305</v>
      </c>
      <c r="G23" s="67" t="s">
        <v>305</v>
      </c>
      <c r="H23" s="237">
        <f>H22</f>
        <v>0</v>
      </c>
      <c r="I23" s="67"/>
      <c r="J23" s="237">
        <f>J22</f>
        <v>0</v>
      </c>
      <c r="K23" s="67"/>
      <c r="L23" s="67"/>
      <c r="M23" s="67"/>
      <c r="N23" s="67"/>
      <c r="O23" s="67"/>
      <c r="P23" s="67"/>
      <c r="Q23" s="68"/>
      <c r="R23" s="2"/>
      <c r="S23" s="237">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N25" sqref="N25"/>
    </sheetView>
  </sheetViews>
  <sheetFormatPr defaultColWidth="10.7109375" defaultRowHeight="15.75" x14ac:dyDescent="0.25"/>
  <cols>
    <col min="1" max="1" width="9.5703125" style="38" customWidth="1"/>
    <col min="2" max="3" width="15.57031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26.8554687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9" t="str">
        <f>'1. паспорт местоположение'!A5:C5</f>
        <v>Год раскрытия информации: 2025 год</v>
      </c>
      <c r="B6" s="459"/>
      <c r="C6" s="459"/>
      <c r="D6" s="459"/>
      <c r="E6" s="459"/>
      <c r="F6" s="459"/>
      <c r="G6" s="459"/>
      <c r="H6" s="459"/>
      <c r="I6" s="459"/>
      <c r="J6" s="459"/>
      <c r="K6" s="459"/>
      <c r="L6" s="459"/>
      <c r="M6" s="459"/>
      <c r="N6" s="459"/>
      <c r="O6" s="459"/>
      <c r="P6" s="459"/>
      <c r="Q6" s="459"/>
      <c r="R6" s="459"/>
      <c r="S6" s="459"/>
      <c r="T6" s="459"/>
    </row>
    <row r="7" spans="1:20" s="11" customFormat="1" x14ac:dyDescent="0.2">
      <c r="A7" s="16"/>
      <c r="H7" s="15"/>
    </row>
    <row r="8" spans="1:20" s="11" customFormat="1" ht="18.75" x14ac:dyDescent="0.2">
      <c r="A8" s="473" t="s">
        <v>6</v>
      </c>
      <c r="B8" s="473"/>
      <c r="C8" s="473"/>
      <c r="D8" s="473"/>
      <c r="E8" s="473"/>
      <c r="F8" s="473"/>
      <c r="G8" s="473"/>
      <c r="H8" s="473"/>
      <c r="I8" s="473"/>
      <c r="J8" s="473"/>
      <c r="K8" s="473"/>
      <c r="L8" s="473"/>
      <c r="M8" s="473"/>
      <c r="N8" s="473"/>
      <c r="O8" s="473"/>
      <c r="P8" s="473"/>
      <c r="Q8" s="473"/>
      <c r="R8" s="473"/>
      <c r="S8" s="473"/>
      <c r="T8" s="473"/>
    </row>
    <row r="9" spans="1:20" s="11" customFormat="1" ht="18.75" x14ac:dyDescent="0.2">
      <c r="A9" s="473"/>
      <c r="B9" s="473"/>
      <c r="C9" s="473"/>
      <c r="D9" s="473"/>
      <c r="E9" s="473"/>
      <c r="F9" s="473"/>
      <c r="G9" s="473"/>
      <c r="H9" s="473"/>
      <c r="I9" s="473"/>
      <c r="J9" s="473"/>
      <c r="K9" s="473"/>
      <c r="L9" s="473"/>
      <c r="M9" s="473"/>
      <c r="N9" s="473"/>
      <c r="O9" s="473"/>
      <c r="P9" s="473"/>
      <c r="Q9" s="473"/>
      <c r="R9" s="473"/>
      <c r="S9" s="473"/>
      <c r="T9" s="473"/>
    </row>
    <row r="10" spans="1:20" s="11" customFormat="1" ht="18.75" customHeight="1" x14ac:dyDescent="0.2">
      <c r="A10" s="467" t="str">
        <f>'1. паспорт местоположение'!A9:C9</f>
        <v>Акционерное общество "Россети Янтарь" ДЗО  ПАО "Россети"</v>
      </c>
      <c r="B10" s="467"/>
      <c r="C10" s="467"/>
      <c r="D10" s="467"/>
      <c r="E10" s="467"/>
      <c r="F10" s="467"/>
      <c r="G10" s="467"/>
      <c r="H10" s="467"/>
      <c r="I10" s="467"/>
      <c r="J10" s="467"/>
      <c r="K10" s="467"/>
      <c r="L10" s="467"/>
      <c r="M10" s="467"/>
      <c r="N10" s="467"/>
      <c r="O10" s="467"/>
      <c r="P10" s="467"/>
      <c r="Q10" s="467"/>
      <c r="R10" s="467"/>
      <c r="S10" s="467"/>
      <c r="T10" s="467"/>
    </row>
    <row r="11" spans="1:20" s="11" customFormat="1" ht="18.75" customHeight="1" x14ac:dyDescent="0.2">
      <c r="A11" s="472" t="s">
        <v>5</v>
      </c>
      <c r="B11" s="472"/>
      <c r="C11" s="472"/>
      <c r="D11" s="472"/>
      <c r="E11" s="472"/>
      <c r="F11" s="472"/>
      <c r="G11" s="472"/>
      <c r="H11" s="472"/>
      <c r="I11" s="472"/>
      <c r="J11" s="472"/>
      <c r="K11" s="472"/>
      <c r="L11" s="472"/>
      <c r="M11" s="472"/>
      <c r="N11" s="472"/>
      <c r="O11" s="472"/>
      <c r="P11" s="472"/>
      <c r="Q11" s="472"/>
      <c r="R11" s="472"/>
      <c r="S11" s="472"/>
      <c r="T11" s="472"/>
    </row>
    <row r="12" spans="1:20" s="11" customFormat="1" ht="18.75" x14ac:dyDescent="0.2">
      <c r="A12" s="473"/>
      <c r="B12" s="473"/>
      <c r="C12" s="473"/>
      <c r="D12" s="473"/>
      <c r="E12" s="473"/>
      <c r="F12" s="473"/>
      <c r="G12" s="473"/>
      <c r="H12" s="473"/>
      <c r="I12" s="473"/>
      <c r="J12" s="473"/>
      <c r="K12" s="473"/>
      <c r="L12" s="473"/>
      <c r="M12" s="473"/>
      <c r="N12" s="473"/>
      <c r="O12" s="473"/>
      <c r="P12" s="473"/>
      <c r="Q12" s="473"/>
      <c r="R12" s="473"/>
      <c r="S12" s="473"/>
      <c r="T12" s="473"/>
    </row>
    <row r="13" spans="1:20" s="11" customFormat="1" ht="18.75" customHeight="1" x14ac:dyDescent="0.2">
      <c r="A13" s="467" t="str">
        <f>'1. паспорт местоположение'!A12:C12</f>
        <v>N_22-1289</v>
      </c>
      <c r="B13" s="467"/>
      <c r="C13" s="467"/>
      <c r="D13" s="467"/>
      <c r="E13" s="467"/>
      <c r="F13" s="467"/>
      <c r="G13" s="467"/>
      <c r="H13" s="467"/>
      <c r="I13" s="467"/>
      <c r="J13" s="467"/>
      <c r="K13" s="467"/>
      <c r="L13" s="467"/>
      <c r="M13" s="467"/>
      <c r="N13" s="467"/>
      <c r="O13" s="467"/>
      <c r="P13" s="467"/>
      <c r="Q13" s="467"/>
      <c r="R13" s="467"/>
      <c r="S13" s="467"/>
      <c r="T13" s="467"/>
    </row>
    <row r="14" spans="1:20" s="11" customFormat="1" ht="18.75" customHeight="1" x14ac:dyDescent="0.2">
      <c r="A14" s="472" t="s">
        <v>4</v>
      </c>
      <c r="B14" s="472"/>
      <c r="C14" s="472"/>
      <c r="D14" s="472"/>
      <c r="E14" s="472"/>
      <c r="F14" s="472"/>
      <c r="G14" s="472"/>
      <c r="H14" s="472"/>
      <c r="I14" s="472"/>
      <c r="J14" s="472"/>
      <c r="K14" s="472"/>
      <c r="L14" s="472"/>
      <c r="M14" s="472"/>
      <c r="N14" s="472"/>
      <c r="O14" s="472"/>
      <c r="P14" s="472"/>
      <c r="Q14" s="472"/>
      <c r="R14" s="472"/>
      <c r="S14" s="472"/>
      <c r="T14" s="472"/>
    </row>
    <row r="15" spans="1:20" s="8" customFormat="1" ht="15.75" customHeight="1" x14ac:dyDescent="0.2">
      <c r="A15" s="474"/>
      <c r="B15" s="474"/>
      <c r="C15" s="474"/>
      <c r="D15" s="474"/>
      <c r="E15" s="474"/>
      <c r="F15" s="474"/>
      <c r="G15" s="474"/>
      <c r="H15" s="474"/>
      <c r="I15" s="474"/>
      <c r="J15" s="474"/>
      <c r="K15" s="474"/>
      <c r="L15" s="474"/>
      <c r="M15" s="474"/>
      <c r="N15" s="474"/>
      <c r="O15" s="474"/>
      <c r="P15" s="474"/>
      <c r="Q15" s="474"/>
      <c r="R15" s="474"/>
      <c r="S15" s="474"/>
      <c r="T15" s="474"/>
    </row>
    <row r="16" spans="1:20" s="3" customFormat="1" ht="37.5" customHeight="1" x14ac:dyDescent="0.2">
      <c r="A16" s="482"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6" s="482"/>
      <c r="C16" s="482"/>
      <c r="D16" s="482"/>
      <c r="E16" s="482"/>
      <c r="F16" s="482"/>
      <c r="G16" s="482"/>
      <c r="H16" s="482"/>
      <c r="I16" s="482"/>
      <c r="J16" s="482"/>
      <c r="K16" s="482"/>
      <c r="L16" s="482"/>
      <c r="M16" s="482"/>
      <c r="N16" s="482"/>
      <c r="O16" s="482"/>
      <c r="P16" s="482"/>
      <c r="Q16" s="482"/>
      <c r="R16" s="482"/>
      <c r="S16" s="482"/>
      <c r="T16" s="482"/>
    </row>
    <row r="17" spans="1:113" s="3" customFormat="1" ht="15" customHeight="1" x14ac:dyDescent="0.2">
      <c r="A17" s="472" t="s">
        <v>3</v>
      </c>
      <c r="B17" s="472"/>
      <c r="C17" s="472"/>
      <c r="D17" s="472"/>
      <c r="E17" s="472"/>
      <c r="F17" s="472"/>
      <c r="G17" s="472"/>
      <c r="H17" s="472"/>
      <c r="I17" s="472"/>
      <c r="J17" s="472"/>
      <c r="K17" s="472"/>
      <c r="L17" s="472"/>
      <c r="M17" s="472"/>
      <c r="N17" s="472"/>
      <c r="O17" s="472"/>
      <c r="P17" s="472"/>
      <c r="Q17" s="472"/>
      <c r="R17" s="472"/>
      <c r="S17" s="472"/>
      <c r="T17" s="472"/>
    </row>
    <row r="18" spans="1:113" s="3" customFormat="1" ht="15" customHeight="1" x14ac:dyDescent="0.2">
      <c r="A18" s="469"/>
      <c r="B18" s="469"/>
      <c r="C18" s="469"/>
      <c r="D18" s="469"/>
      <c r="E18" s="469"/>
      <c r="F18" s="469"/>
      <c r="G18" s="469"/>
      <c r="H18" s="469"/>
      <c r="I18" s="469"/>
      <c r="J18" s="469"/>
      <c r="K18" s="469"/>
      <c r="L18" s="469"/>
      <c r="M18" s="469"/>
      <c r="N18" s="469"/>
      <c r="O18" s="469"/>
      <c r="P18" s="469"/>
      <c r="Q18" s="469"/>
      <c r="R18" s="469"/>
      <c r="S18" s="469"/>
      <c r="T18" s="469"/>
    </row>
    <row r="19" spans="1:113" s="3" customFormat="1" ht="15" customHeight="1" x14ac:dyDescent="0.2">
      <c r="A19" s="483" t="s">
        <v>422</v>
      </c>
      <c r="B19" s="483"/>
      <c r="C19" s="483"/>
      <c r="D19" s="483"/>
      <c r="E19" s="483"/>
      <c r="F19" s="483"/>
      <c r="G19" s="483"/>
      <c r="H19" s="483"/>
      <c r="I19" s="483"/>
      <c r="J19" s="483"/>
      <c r="K19" s="483"/>
      <c r="L19" s="483"/>
      <c r="M19" s="483"/>
      <c r="N19" s="483"/>
      <c r="O19" s="483"/>
      <c r="P19" s="483"/>
      <c r="Q19" s="483"/>
      <c r="R19" s="483"/>
      <c r="S19" s="483"/>
      <c r="T19" s="483"/>
    </row>
    <row r="20" spans="1:113" s="46" customFormat="1" ht="21" customHeight="1" x14ac:dyDescent="0.25">
      <c r="A20" s="484"/>
      <c r="B20" s="484"/>
      <c r="C20" s="484"/>
      <c r="D20" s="484"/>
      <c r="E20" s="484"/>
      <c r="F20" s="484"/>
      <c r="G20" s="484"/>
      <c r="H20" s="484"/>
      <c r="I20" s="484"/>
      <c r="J20" s="484"/>
      <c r="K20" s="484"/>
      <c r="L20" s="484"/>
      <c r="M20" s="484"/>
      <c r="N20" s="484"/>
      <c r="O20" s="484"/>
      <c r="P20" s="484"/>
      <c r="Q20" s="484"/>
      <c r="R20" s="484"/>
      <c r="S20" s="484"/>
      <c r="T20" s="484"/>
    </row>
    <row r="21" spans="1:113" ht="46.5" customHeight="1" x14ac:dyDescent="0.25">
      <c r="A21" s="485" t="s">
        <v>2</v>
      </c>
      <c r="B21" s="488" t="s">
        <v>217</v>
      </c>
      <c r="C21" s="489"/>
      <c r="D21" s="492" t="s">
        <v>115</v>
      </c>
      <c r="E21" s="488" t="s">
        <v>451</v>
      </c>
      <c r="F21" s="489"/>
      <c r="G21" s="488" t="s">
        <v>236</v>
      </c>
      <c r="H21" s="489"/>
      <c r="I21" s="488" t="s">
        <v>114</v>
      </c>
      <c r="J21" s="489"/>
      <c r="K21" s="492" t="s">
        <v>113</v>
      </c>
      <c r="L21" s="488" t="s">
        <v>112</v>
      </c>
      <c r="M21" s="489"/>
      <c r="N21" s="488" t="s">
        <v>447</v>
      </c>
      <c r="O21" s="489"/>
      <c r="P21" s="492" t="s">
        <v>111</v>
      </c>
      <c r="Q21" s="479" t="s">
        <v>110</v>
      </c>
      <c r="R21" s="480"/>
      <c r="S21" s="479" t="s">
        <v>109</v>
      </c>
      <c r="T21" s="481"/>
    </row>
    <row r="22" spans="1:113" ht="204.75" customHeight="1" x14ac:dyDescent="0.25">
      <c r="A22" s="486"/>
      <c r="B22" s="490"/>
      <c r="C22" s="491"/>
      <c r="D22" s="495"/>
      <c r="E22" s="490"/>
      <c r="F22" s="491"/>
      <c r="G22" s="490"/>
      <c r="H22" s="491"/>
      <c r="I22" s="490"/>
      <c r="J22" s="491"/>
      <c r="K22" s="493"/>
      <c r="L22" s="490"/>
      <c r="M22" s="491"/>
      <c r="N22" s="490"/>
      <c r="O22" s="491"/>
      <c r="P22" s="493"/>
      <c r="Q22" s="61" t="s">
        <v>108</v>
      </c>
      <c r="R22" s="61" t="s">
        <v>421</v>
      </c>
      <c r="S22" s="61" t="s">
        <v>107</v>
      </c>
      <c r="T22" s="61" t="s">
        <v>106</v>
      </c>
    </row>
    <row r="23" spans="1:113" ht="51.75" customHeight="1" x14ac:dyDescent="0.25">
      <c r="A23" s="487"/>
      <c r="B23" s="100" t="s">
        <v>104</v>
      </c>
      <c r="C23" s="100" t="s">
        <v>105</v>
      </c>
      <c r="D23" s="493"/>
      <c r="E23" s="100" t="s">
        <v>104</v>
      </c>
      <c r="F23" s="100" t="s">
        <v>105</v>
      </c>
      <c r="G23" s="100" t="s">
        <v>104</v>
      </c>
      <c r="H23" s="100" t="s">
        <v>105</v>
      </c>
      <c r="I23" s="100" t="s">
        <v>104</v>
      </c>
      <c r="J23" s="100" t="s">
        <v>105</v>
      </c>
      <c r="K23" s="100" t="s">
        <v>104</v>
      </c>
      <c r="L23" s="100" t="s">
        <v>104</v>
      </c>
      <c r="M23" s="100" t="s">
        <v>105</v>
      </c>
      <c r="N23" s="100" t="s">
        <v>104</v>
      </c>
      <c r="O23" s="100" t="s">
        <v>105</v>
      </c>
      <c r="P23" s="101"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1" customFormat="1" ht="115.5" customHeight="1" x14ac:dyDescent="0.25">
      <c r="A25" s="425">
        <v>1</v>
      </c>
      <c r="B25" s="423" t="s">
        <v>539</v>
      </c>
      <c r="C25" s="423" t="s">
        <v>639</v>
      </c>
      <c r="D25" s="423" t="s">
        <v>505</v>
      </c>
      <c r="E25" s="423" t="s">
        <v>517</v>
      </c>
      <c r="F25" s="423" t="s">
        <v>640</v>
      </c>
      <c r="G25" s="423" t="s">
        <v>506</v>
      </c>
      <c r="H25" s="423" t="s">
        <v>506</v>
      </c>
      <c r="I25" s="423">
        <v>1983</v>
      </c>
      <c r="J25" s="424" t="s">
        <v>641</v>
      </c>
      <c r="K25" s="423">
        <v>1983</v>
      </c>
      <c r="L25" s="424" t="s">
        <v>403</v>
      </c>
      <c r="M25" s="425">
        <v>15</v>
      </c>
      <c r="N25" s="425">
        <v>0.25</v>
      </c>
      <c r="O25" s="428">
        <v>0.25</v>
      </c>
      <c r="P25" s="424" t="s">
        <v>516</v>
      </c>
      <c r="Q25" s="426" t="s">
        <v>523</v>
      </c>
      <c r="R25" s="423" t="s">
        <v>524</v>
      </c>
      <c r="S25" s="426" t="s">
        <v>521</v>
      </c>
      <c r="T25" s="427" t="s">
        <v>522</v>
      </c>
    </row>
    <row r="26" spans="1:113" ht="3" customHeight="1" x14ac:dyDescent="0.25">
      <c r="P26" s="354">
        <f>O25-N25</f>
        <v>0</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94" t="s">
        <v>457</v>
      </c>
      <c r="C29" s="494"/>
      <c r="D29" s="494"/>
      <c r="E29" s="494"/>
      <c r="F29" s="494"/>
      <c r="G29" s="494"/>
      <c r="H29" s="494"/>
      <c r="I29" s="494"/>
      <c r="J29" s="494"/>
      <c r="K29" s="494"/>
      <c r="L29" s="494"/>
      <c r="M29" s="494"/>
      <c r="N29" s="494"/>
      <c r="O29" s="494"/>
      <c r="P29" s="494"/>
      <c r="Q29" s="494"/>
      <c r="R29" s="494"/>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420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5"/>
  <sheetViews>
    <sheetView view="pageBreakPreview" topLeftCell="D23" zoomScale="70" zoomScaleSheetLayoutView="70" workbookViewId="0">
      <selection activeCell="R41" sqref="R41"/>
    </sheetView>
  </sheetViews>
  <sheetFormatPr defaultColWidth="10.7109375" defaultRowHeight="15.75" x14ac:dyDescent="0.25"/>
  <cols>
    <col min="1" max="1" width="10.7109375" style="38"/>
    <col min="2" max="5" width="18.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1.85546875" style="38" customWidth="1"/>
    <col min="26" max="26" width="21.5703125" style="38" customWidth="1"/>
    <col min="27" max="27" width="29.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row>
    <row r="6" spans="1:27" s="11" customFormat="1" x14ac:dyDescent="0.2">
      <c r="A6" s="103"/>
      <c r="B6" s="103"/>
      <c r="C6" s="103"/>
      <c r="D6" s="103"/>
      <c r="E6" s="103"/>
      <c r="F6" s="103"/>
      <c r="G6" s="103"/>
      <c r="H6" s="103"/>
      <c r="I6" s="103"/>
      <c r="J6" s="103"/>
      <c r="K6" s="103"/>
      <c r="L6" s="103"/>
      <c r="M6" s="103"/>
      <c r="N6" s="103"/>
      <c r="O6" s="103"/>
      <c r="P6" s="103"/>
      <c r="Q6" s="103"/>
      <c r="R6" s="103"/>
      <c r="S6" s="103"/>
      <c r="T6" s="103"/>
    </row>
    <row r="7" spans="1:27" s="11" customFormat="1" ht="18.75" x14ac:dyDescent="0.2">
      <c r="E7" s="473" t="s">
        <v>6</v>
      </c>
      <c r="F7" s="473"/>
      <c r="G7" s="473"/>
      <c r="H7" s="473"/>
      <c r="I7" s="473"/>
      <c r="J7" s="473"/>
      <c r="K7" s="473"/>
      <c r="L7" s="473"/>
      <c r="M7" s="473"/>
      <c r="N7" s="473"/>
      <c r="O7" s="473"/>
      <c r="P7" s="473"/>
      <c r="Q7" s="473"/>
      <c r="R7" s="473"/>
      <c r="S7" s="473"/>
      <c r="T7" s="473"/>
      <c r="U7" s="473"/>
      <c r="V7" s="473"/>
      <c r="W7" s="473"/>
      <c r="X7" s="473"/>
      <c r="Y7" s="47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7" t="str">
        <f>'1. паспорт местоположение'!A9</f>
        <v>Акционерное общество "Россети Янтарь" ДЗО  ПАО "Россети"</v>
      </c>
      <c r="F9" s="467"/>
      <c r="G9" s="467"/>
      <c r="H9" s="467"/>
      <c r="I9" s="467"/>
      <c r="J9" s="467"/>
      <c r="K9" s="467"/>
      <c r="L9" s="467"/>
      <c r="M9" s="467"/>
      <c r="N9" s="467"/>
      <c r="O9" s="467"/>
      <c r="P9" s="467"/>
      <c r="Q9" s="467"/>
      <c r="R9" s="467"/>
      <c r="S9" s="467"/>
      <c r="T9" s="467"/>
      <c r="U9" s="467"/>
      <c r="V9" s="467"/>
      <c r="W9" s="467"/>
      <c r="X9" s="467"/>
      <c r="Y9" s="467"/>
    </row>
    <row r="10" spans="1:27" s="11" customFormat="1" ht="18.75" customHeight="1" x14ac:dyDescent="0.2">
      <c r="E10" s="472" t="s">
        <v>5</v>
      </c>
      <c r="F10" s="472"/>
      <c r="G10" s="472"/>
      <c r="H10" s="472"/>
      <c r="I10" s="472"/>
      <c r="J10" s="472"/>
      <c r="K10" s="472"/>
      <c r="L10" s="472"/>
      <c r="M10" s="472"/>
      <c r="N10" s="472"/>
      <c r="O10" s="472"/>
      <c r="P10" s="472"/>
      <c r="Q10" s="472"/>
      <c r="R10" s="472"/>
      <c r="S10" s="472"/>
      <c r="T10" s="472"/>
      <c r="U10" s="472"/>
      <c r="V10" s="472"/>
      <c r="W10" s="472"/>
      <c r="X10" s="472"/>
      <c r="Y10" s="47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7" t="str">
        <f>'1. паспорт местоположение'!A12</f>
        <v>N_22-1289</v>
      </c>
      <c r="F12" s="467"/>
      <c r="G12" s="467"/>
      <c r="H12" s="467"/>
      <c r="I12" s="467"/>
      <c r="J12" s="467"/>
      <c r="K12" s="467"/>
      <c r="L12" s="467"/>
      <c r="M12" s="467"/>
      <c r="N12" s="467"/>
      <c r="O12" s="467"/>
      <c r="P12" s="467"/>
      <c r="Q12" s="467"/>
      <c r="R12" s="467"/>
      <c r="S12" s="467"/>
      <c r="T12" s="467"/>
      <c r="U12" s="467"/>
      <c r="V12" s="467"/>
      <c r="W12" s="467"/>
      <c r="X12" s="467"/>
      <c r="Y12" s="467"/>
    </row>
    <row r="13" spans="1:27" s="11" customFormat="1" ht="18.75" customHeight="1" x14ac:dyDescent="0.2">
      <c r="E13" s="472" t="s">
        <v>4</v>
      </c>
      <c r="F13" s="472"/>
      <c r="G13" s="472"/>
      <c r="H13" s="472"/>
      <c r="I13" s="472"/>
      <c r="J13" s="472"/>
      <c r="K13" s="472"/>
      <c r="L13" s="472"/>
      <c r="M13" s="472"/>
      <c r="N13" s="472"/>
      <c r="O13" s="472"/>
      <c r="P13" s="472"/>
      <c r="Q13" s="472"/>
      <c r="R13" s="472"/>
      <c r="S13" s="472"/>
      <c r="T13" s="472"/>
      <c r="U13" s="472"/>
      <c r="V13" s="472"/>
      <c r="W13" s="472"/>
      <c r="X13" s="472"/>
      <c r="Y13" s="47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82"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F15" s="482"/>
      <c r="G15" s="482"/>
      <c r="H15" s="482"/>
      <c r="I15" s="482"/>
      <c r="J15" s="482"/>
      <c r="K15" s="482"/>
      <c r="L15" s="482"/>
      <c r="M15" s="482"/>
      <c r="N15" s="482"/>
      <c r="O15" s="482"/>
      <c r="P15" s="482"/>
      <c r="Q15" s="482"/>
      <c r="R15" s="482"/>
      <c r="S15" s="482"/>
      <c r="T15" s="482"/>
      <c r="U15" s="482"/>
      <c r="V15" s="482"/>
      <c r="W15" s="482"/>
      <c r="X15" s="482"/>
      <c r="Y15" s="482"/>
    </row>
    <row r="16" spans="1:27" s="3" customFormat="1" ht="15" customHeight="1" x14ac:dyDescent="0.2">
      <c r="E16" s="472" t="s">
        <v>3</v>
      </c>
      <c r="F16" s="472"/>
      <c r="G16" s="472"/>
      <c r="H16" s="472"/>
      <c r="I16" s="472"/>
      <c r="J16" s="472"/>
      <c r="K16" s="472"/>
      <c r="L16" s="472"/>
      <c r="M16" s="472"/>
      <c r="N16" s="472"/>
      <c r="O16" s="472"/>
      <c r="P16" s="472"/>
      <c r="Q16" s="472"/>
      <c r="R16" s="472"/>
      <c r="S16" s="472"/>
      <c r="T16" s="472"/>
      <c r="U16" s="472"/>
      <c r="V16" s="472"/>
      <c r="W16" s="472"/>
      <c r="X16" s="472"/>
      <c r="Y16" s="4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3"/>
      <c r="F18" s="483"/>
      <c r="G18" s="483"/>
      <c r="H18" s="483"/>
      <c r="I18" s="483"/>
      <c r="J18" s="483"/>
      <c r="K18" s="483"/>
      <c r="L18" s="483"/>
      <c r="M18" s="483"/>
      <c r="N18" s="483"/>
      <c r="O18" s="483"/>
      <c r="P18" s="483"/>
      <c r="Q18" s="483"/>
      <c r="R18" s="483"/>
      <c r="S18" s="483"/>
      <c r="T18" s="483"/>
      <c r="U18" s="483"/>
      <c r="V18" s="483"/>
      <c r="W18" s="483"/>
      <c r="X18" s="483"/>
      <c r="Y18" s="483"/>
    </row>
    <row r="19" spans="1:27" ht="25.5" customHeight="1" x14ac:dyDescent="0.25">
      <c r="A19" s="483" t="s">
        <v>424</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row>
    <row r="20" spans="1:27" s="46" customFormat="1" ht="21" customHeight="1" x14ac:dyDescent="0.25"/>
    <row r="21" spans="1:27" ht="15.75" customHeight="1" x14ac:dyDescent="0.25">
      <c r="A21" s="496" t="s">
        <v>2</v>
      </c>
      <c r="B21" s="498" t="s">
        <v>431</v>
      </c>
      <c r="C21" s="499"/>
      <c r="D21" s="498" t="s">
        <v>433</v>
      </c>
      <c r="E21" s="499"/>
      <c r="F21" s="479" t="s">
        <v>87</v>
      </c>
      <c r="G21" s="481"/>
      <c r="H21" s="481"/>
      <c r="I21" s="480"/>
      <c r="J21" s="496" t="s">
        <v>434</v>
      </c>
      <c r="K21" s="498" t="s">
        <v>435</v>
      </c>
      <c r="L21" s="499"/>
      <c r="M21" s="498" t="s">
        <v>436</v>
      </c>
      <c r="N21" s="499"/>
      <c r="O21" s="498" t="s">
        <v>423</v>
      </c>
      <c r="P21" s="499"/>
      <c r="Q21" s="498" t="s">
        <v>120</v>
      </c>
      <c r="R21" s="499"/>
      <c r="S21" s="496" t="s">
        <v>119</v>
      </c>
      <c r="T21" s="496" t="s">
        <v>437</v>
      </c>
      <c r="U21" s="496" t="s">
        <v>432</v>
      </c>
      <c r="V21" s="498" t="s">
        <v>118</v>
      </c>
      <c r="W21" s="499"/>
      <c r="X21" s="479" t="s">
        <v>110</v>
      </c>
      <c r="Y21" s="481"/>
      <c r="Z21" s="479" t="s">
        <v>109</v>
      </c>
      <c r="AA21" s="481"/>
    </row>
    <row r="22" spans="1:27" ht="216" customHeight="1" x14ac:dyDescent="0.25">
      <c r="A22" s="502"/>
      <c r="B22" s="500"/>
      <c r="C22" s="501"/>
      <c r="D22" s="500"/>
      <c r="E22" s="501"/>
      <c r="F22" s="479" t="s">
        <v>117</v>
      </c>
      <c r="G22" s="480"/>
      <c r="H22" s="479" t="s">
        <v>116</v>
      </c>
      <c r="I22" s="480"/>
      <c r="J22" s="497"/>
      <c r="K22" s="500"/>
      <c r="L22" s="501"/>
      <c r="M22" s="500"/>
      <c r="N22" s="501"/>
      <c r="O22" s="500"/>
      <c r="P22" s="501"/>
      <c r="Q22" s="500"/>
      <c r="R22" s="501"/>
      <c r="S22" s="497"/>
      <c r="T22" s="497"/>
      <c r="U22" s="497"/>
      <c r="V22" s="500"/>
      <c r="W22" s="501"/>
      <c r="X22" s="61" t="s">
        <v>108</v>
      </c>
      <c r="Y22" s="61" t="s">
        <v>421</v>
      </c>
      <c r="Z22" s="61" t="s">
        <v>107</v>
      </c>
      <c r="AA22" s="61" t="s">
        <v>106</v>
      </c>
    </row>
    <row r="23" spans="1:27" ht="60" customHeight="1" x14ac:dyDescent="0.25">
      <c r="A23" s="497"/>
      <c r="B23" s="98" t="s">
        <v>104</v>
      </c>
      <c r="C23" s="98"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31.5" x14ac:dyDescent="0.25">
      <c r="A25" s="413">
        <v>1</v>
      </c>
      <c r="B25" s="413" t="s">
        <v>601</v>
      </c>
      <c r="C25" s="415" t="s">
        <v>601</v>
      </c>
      <c r="D25" s="415" t="s">
        <v>602</v>
      </c>
      <c r="E25" s="415" t="s">
        <v>603</v>
      </c>
      <c r="F25" s="413">
        <v>15</v>
      </c>
      <c r="G25" s="413">
        <v>15</v>
      </c>
      <c r="H25" s="413">
        <v>15</v>
      </c>
      <c r="I25" s="413">
        <v>15</v>
      </c>
      <c r="J25" s="413" t="s">
        <v>305</v>
      </c>
      <c r="K25" s="413">
        <v>1</v>
      </c>
      <c r="L25" s="413">
        <v>1</v>
      </c>
      <c r="M25" s="413">
        <v>50</v>
      </c>
      <c r="N25" s="413">
        <v>50</v>
      </c>
      <c r="O25" s="413" t="s">
        <v>503</v>
      </c>
      <c r="P25" s="413" t="s">
        <v>503</v>
      </c>
      <c r="Q25" s="416">
        <v>3.0000000000000001E-3</v>
      </c>
      <c r="R25" s="416">
        <v>3.0000000000000001E-3</v>
      </c>
      <c r="S25" s="413" t="s">
        <v>305</v>
      </c>
      <c r="T25" s="413" t="s">
        <v>305</v>
      </c>
      <c r="U25" s="413" t="s">
        <v>305</v>
      </c>
      <c r="V25" s="413" t="s">
        <v>305</v>
      </c>
      <c r="W25" s="413" t="s">
        <v>504</v>
      </c>
      <c r="X25" s="413" t="s">
        <v>305</v>
      </c>
      <c r="Y25" s="413" t="s">
        <v>305</v>
      </c>
      <c r="Z25" s="413" t="s">
        <v>305</v>
      </c>
      <c r="AA25" s="413" t="s">
        <v>305</v>
      </c>
    </row>
    <row r="26" spans="1:27" s="272" customFormat="1" ht="39.6" customHeight="1" x14ac:dyDescent="0.25">
      <c r="A26" s="413">
        <v>2</v>
      </c>
      <c r="B26" s="413" t="s">
        <v>305</v>
      </c>
      <c r="C26" s="415" t="s">
        <v>604</v>
      </c>
      <c r="D26" s="413" t="s">
        <v>305</v>
      </c>
      <c r="E26" s="415" t="s">
        <v>605</v>
      </c>
      <c r="F26" s="413" t="s">
        <v>305</v>
      </c>
      <c r="G26" s="413">
        <v>0.4</v>
      </c>
      <c r="H26" s="413" t="s">
        <v>305</v>
      </c>
      <c r="I26" s="413">
        <v>0.4</v>
      </c>
      <c r="J26" s="413" t="s">
        <v>305</v>
      </c>
      <c r="K26" s="413" t="s">
        <v>305</v>
      </c>
      <c r="L26" s="413">
        <v>1</v>
      </c>
      <c r="M26" s="413" t="s">
        <v>305</v>
      </c>
      <c r="N26" s="413">
        <v>95</v>
      </c>
      <c r="O26" s="413" t="s">
        <v>305</v>
      </c>
      <c r="P26" s="413" t="s">
        <v>503</v>
      </c>
      <c r="Q26" s="404" t="s">
        <v>305</v>
      </c>
      <c r="R26" s="425">
        <v>2.1000000000000001E-2</v>
      </c>
      <c r="S26" s="413" t="s">
        <v>305</v>
      </c>
      <c r="T26" s="413" t="s">
        <v>305</v>
      </c>
      <c r="U26" s="413" t="s">
        <v>305</v>
      </c>
      <c r="V26" s="413" t="s">
        <v>305</v>
      </c>
      <c r="W26" s="413" t="s">
        <v>504</v>
      </c>
      <c r="X26" s="413" t="s">
        <v>305</v>
      </c>
      <c r="Y26" s="413" t="s">
        <v>305</v>
      </c>
      <c r="Z26" s="413" t="s">
        <v>305</v>
      </c>
      <c r="AA26" s="413" t="s">
        <v>305</v>
      </c>
    </row>
    <row r="27" spans="1:27" s="272" customFormat="1" ht="39.6" customHeight="1" x14ac:dyDescent="0.25">
      <c r="A27" s="413">
        <v>3</v>
      </c>
      <c r="B27" s="415" t="s">
        <v>606</v>
      </c>
      <c r="C27" s="415" t="s">
        <v>607</v>
      </c>
      <c r="D27" s="413" t="s">
        <v>608</v>
      </c>
      <c r="E27" s="413" t="s">
        <v>609</v>
      </c>
      <c r="F27" s="413">
        <v>0.4</v>
      </c>
      <c r="G27" s="413">
        <v>0.4</v>
      </c>
      <c r="H27" s="413">
        <v>0.4</v>
      </c>
      <c r="I27" s="413">
        <v>0.4</v>
      </c>
      <c r="J27" s="413" t="s">
        <v>305</v>
      </c>
      <c r="K27" s="413">
        <v>1</v>
      </c>
      <c r="L27" s="416">
        <v>2</v>
      </c>
      <c r="M27" s="413" t="s">
        <v>305</v>
      </c>
      <c r="N27" s="413">
        <v>95</v>
      </c>
      <c r="O27" s="413" t="s">
        <v>503</v>
      </c>
      <c r="P27" s="413" t="s">
        <v>503</v>
      </c>
      <c r="Q27" s="404">
        <v>0.254</v>
      </c>
      <c r="R27" s="425">
        <v>0.254</v>
      </c>
      <c r="S27" s="413" t="s">
        <v>305</v>
      </c>
      <c r="T27" s="413" t="s">
        <v>305</v>
      </c>
      <c r="U27" s="413" t="s">
        <v>305</v>
      </c>
      <c r="V27" s="413" t="s">
        <v>504</v>
      </c>
      <c r="W27" s="413" t="s">
        <v>504</v>
      </c>
      <c r="X27" s="413" t="s">
        <v>305</v>
      </c>
      <c r="Y27" s="413" t="s">
        <v>305</v>
      </c>
      <c r="Z27" s="413" t="s">
        <v>305</v>
      </c>
      <c r="AA27" s="413" t="s">
        <v>305</v>
      </c>
    </row>
    <row r="28" spans="1:27" s="272" customFormat="1" x14ac:dyDescent="0.25">
      <c r="A28" s="505">
        <v>4</v>
      </c>
      <c r="B28" s="505" t="s">
        <v>606</v>
      </c>
      <c r="C28" s="505" t="s">
        <v>520</v>
      </c>
      <c r="D28" s="411" t="s">
        <v>610</v>
      </c>
      <c r="E28" s="411" t="s">
        <v>611</v>
      </c>
      <c r="F28" s="505">
        <v>0.4</v>
      </c>
      <c r="G28" s="505">
        <v>0.4</v>
      </c>
      <c r="H28" s="505">
        <v>0.4</v>
      </c>
      <c r="I28" s="505">
        <v>0.4</v>
      </c>
      <c r="J28" s="505" t="s">
        <v>515</v>
      </c>
      <c r="K28" s="505" t="s">
        <v>61</v>
      </c>
      <c r="L28" s="505" t="s">
        <v>61</v>
      </c>
      <c r="M28" s="405" t="s">
        <v>527</v>
      </c>
      <c r="N28" s="417">
        <v>95</v>
      </c>
      <c r="O28" s="505" t="s">
        <v>503</v>
      </c>
      <c r="P28" s="505" t="s">
        <v>503</v>
      </c>
      <c r="Q28" s="418">
        <v>0.29299999999999998</v>
      </c>
      <c r="R28" s="418">
        <v>0.29299999999999998</v>
      </c>
      <c r="S28" s="505" t="s">
        <v>305</v>
      </c>
      <c r="T28" s="505" t="s">
        <v>512</v>
      </c>
      <c r="U28" s="505" t="s">
        <v>69</v>
      </c>
      <c r="V28" s="505" t="s">
        <v>504</v>
      </c>
      <c r="W28" s="505" t="s">
        <v>504</v>
      </c>
      <c r="X28" s="505" t="s">
        <v>532</v>
      </c>
      <c r="Y28" s="505" t="s">
        <v>533</v>
      </c>
      <c r="Z28" s="505" t="s">
        <v>518</v>
      </c>
      <c r="AA28" s="503" t="s">
        <v>529</v>
      </c>
    </row>
    <row r="29" spans="1:27" s="272" customFormat="1" ht="63" x14ac:dyDescent="0.25">
      <c r="A29" s="505"/>
      <c r="B29" s="505"/>
      <c r="C29" s="505"/>
      <c r="D29" s="411" t="s">
        <v>612</v>
      </c>
      <c r="E29" s="411" t="s">
        <v>613</v>
      </c>
      <c r="F29" s="505"/>
      <c r="G29" s="505"/>
      <c r="H29" s="505"/>
      <c r="I29" s="505"/>
      <c r="J29" s="505"/>
      <c r="K29" s="505"/>
      <c r="L29" s="505"/>
      <c r="M29" s="405" t="s">
        <v>408</v>
      </c>
      <c r="N29" s="417">
        <v>25</v>
      </c>
      <c r="O29" s="505"/>
      <c r="P29" s="505"/>
      <c r="Q29" s="418">
        <v>0.10100000000000001</v>
      </c>
      <c r="R29" s="418">
        <v>0.10100000000000001</v>
      </c>
      <c r="S29" s="505"/>
      <c r="T29" s="505"/>
      <c r="U29" s="505"/>
      <c r="V29" s="505"/>
      <c r="W29" s="505"/>
      <c r="X29" s="505"/>
      <c r="Y29" s="505"/>
      <c r="Z29" s="505"/>
      <c r="AA29" s="504"/>
    </row>
    <row r="30" spans="1:27" s="272" customFormat="1" ht="39.6" customHeight="1" x14ac:dyDescent="0.25">
      <c r="A30" s="415">
        <v>5</v>
      </c>
      <c r="B30" s="411" t="s">
        <v>305</v>
      </c>
      <c r="C30" s="411" t="s">
        <v>614</v>
      </c>
      <c r="D30" s="411" t="s">
        <v>305</v>
      </c>
      <c r="E30" s="411" t="s">
        <v>615</v>
      </c>
      <c r="F30" s="403" t="s">
        <v>305</v>
      </c>
      <c r="G30" s="415">
        <v>0.4</v>
      </c>
      <c r="H30" s="403" t="s">
        <v>305</v>
      </c>
      <c r="I30" s="403">
        <v>0.4</v>
      </c>
      <c r="J30" s="405" t="s">
        <v>305</v>
      </c>
      <c r="K30" s="405" t="s">
        <v>305</v>
      </c>
      <c r="L30" s="422" t="s">
        <v>59</v>
      </c>
      <c r="M30" s="405" t="s">
        <v>305</v>
      </c>
      <c r="N30" s="417" t="s">
        <v>616</v>
      </c>
      <c r="O30" s="417" t="s">
        <v>305</v>
      </c>
      <c r="P30" s="417" t="s">
        <v>503</v>
      </c>
      <c r="Q30" s="421" t="s">
        <v>305</v>
      </c>
      <c r="R30" s="421">
        <v>6.0000000000000001E-3</v>
      </c>
      <c r="S30" s="405" t="s">
        <v>305</v>
      </c>
      <c r="T30" s="419" t="s">
        <v>305</v>
      </c>
      <c r="U30" s="419" t="s">
        <v>305</v>
      </c>
      <c r="V30" s="420" t="s">
        <v>305</v>
      </c>
      <c r="W30" s="420" t="s">
        <v>305</v>
      </c>
      <c r="X30" s="403" t="s">
        <v>305</v>
      </c>
      <c r="Y30" s="403" t="s">
        <v>305</v>
      </c>
      <c r="Z30" s="403" t="s">
        <v>305</v>
      </c>
      <c r="AA30" s="414"/>
    </row>
    <row r="31" spans="1:27" s="272" customFormat="1" ht="39.6" customHeight="1" x14ac:dyDescent="0.25">
      <c r="A31" s="503">
        <v>6</v>
      </c>
      <c r="B31" s="503" t="s">
        <v>525</v>
      </c>
      <c r="C31" s="503" t="s">
        <v>526</v>
      </c>
      <c r="D31" s="411" t="s">
        <v>617</v>
      </c>
      <c r="E31" s="411" t="s">
        <v>618</v>
      </c>
      <c r="F31" s="503">
        <v>0.4</v>
      </c>
      <c r="G31" s="503">
        <v>0.4</v>
      </c>
      <c r="H31" s="503">
        <v>0.4</v>
      </c>
      <c r="I31" s="503">
        <v>0.4</v>
      </c>
      <c r="J31" s="503" t="s">
        <v>515</v>
      </c>
      <c r="K31" s="503" t="s">
        <v>61</v>
      </c>
      <c r="L31" s="503" t="s">
        <v>61</v>
      </c>
      <c r="M31" s="503" t="s">
        <v>527</v>
      </c>
      <c r="N31" s="503">
        <v>70</v>
      </c>
      <c r="O31" s="503" t="s">
        <v>503</v>
      </c>
      <c r="P31" s="503" t="s">
        <v>503</v>
      </c>
      <c r="Q31" s="421">
        <v>0.124</v>
      </c>
      <c r="R31" s="421">
        <v>0.11399999999999999</v>
      </c>
      <c r="S31" s="503" t="s">
        <v>305</v>
      </c>
      <c r="T31" s="503" t="s">
        <v>512</v>
      </c>
      <c r="U31" s="503" t="s">
        <v>69</v>
      </c>
      <c r="V31" s="503" t="s">
        <v>528</v>
      </c>
      <c r="W31" s="503" t="s">
        <v>504</v>
      </c>
      <c r="X31" s="509" t="s">
        <v>532</v>
      </c>
      <c r="Y31" s="509" t="s">
        <v>533</v>
      </c>
      <c r="Z31" s="506" t="s">
        <v>518</v>
      </c>
      <c r="AA31" s="512" t="s">
        <v>619</v>
      </c>
    </row>
    <row r="32" spans="1:27" x14ac:dyDescent="0.25">
      <c r="A32" s="504"/>
      <c r="B32" s="504"/>
      <c r="C32" s="504"/>
      <c r="D32" s="411" t="s">
        <v>620</v>
      </c>
      <c r="E32" s="411" t="s">
        <v>621</v>
      </c>
      <c r="F32" s="504"/>
      <c r="G32" s="504"/>
      <c r="H32" s="504"/>
      <c r="I32" s="504"/>
      <c r="J32" s="504"/>
      <c r="K32" s="504"/>
      <c r="L32" s="504"/>
      <c r="M32" s="504"/>
      <c r="N32" s="504"/>
      <c r="O32" s="504"/>
      <c r="P32" s="504"/>
      <c r="Q32" s="418">
        <v>0.188</v>
      </c>
      <c r="R32" s="418">
        <v>0.188</v>
      </c>
      <c r="S32" s="504"/>
      <c r="T32" s="504"/>
      <c r="U32" s="504"/>
      <c r="V32" s="504"/>
      <c r="W32" s="504"/>
      <c r="X32" s="510"/>
      <c r="Y32" s="510"/>
      <c r="Z32" s="507"/>
      <c r="AA32" s="513"/>
    </row>
    <row r="33" spans="1:27" ht="31.5" x14ac:dyDescent="0.25">
      <c r="A33" s="415">
        <v>7</v>
      </c>
      <c r="B33" s="411" t="s">
        <v>622</v>
      </c>
      <c r="C33" s="411" t="s">
        <v>622</v>
      </c>
      <c r="D33" s="411" t="s">
        <v>623</v>
      </c>
      <c r="E33" s="411" t="s">
        <v>617</v>
      </c>
      <c r="F33" s="403">
        <v>0.4</v>
      </c>
      <c r="G33" s="415">
        <v>0.4</v>
      </c>
      <c r="H33" s="403">
        <v>0.4</v>
      </c>
      <c r="I33" s="403">
        <v>0.4</v>
      </c>
      <c r="J33" s="405" t="s">
        <v>515</v>
      </c>
      <c r="K33" s="405" t="s">
        <v>60</v>
      </c>
      <c r="L33" s="422" t="s">
        <v>60</v>
      </c>
      <c r="M33" s="405" t="s">
        <v>624</v>
      </c>
      <c r="N33" s="417" t="s">
        <v>624</v>
      </c>
      <c r="O33" s="417" t="s">
        <v>503</v>
      </c>
      <c r="P33" s="417" t="s">
        <v>503</v>
      </c>
      <c r="Q33" s="421">
        <v>3.4000000000000002E-2</v>
      </c>
      <c r="R33" s="421">
        <v>4.8000000000000001E-2</v>
      </c>
      <c r="S33" s="405" t="s">
        <v>305</v>
      </c>
      <c r="T33" s="419" t="s">
        <v>512</v>
      </c>
      <c r="U33" s="419" t="s">
        <v>69</v>
      </c>
      <c r="V33" s="420" t="s">
        <v>528</v>
      </c>
      <c r="W33" s="420" t="s">
        <v>504</v>
      </c>
      <c r="X33" s="510"/>
      <c r="Y33" s="510"/>
      <c r="Z33" s="507"/>
      <c r="AA33" s="513"/>
    </row>
    <row r="34" spans="1:27" ht="47.25" x14ac:dyDescent="0.25">
      <c r="A34" s="415">
        <v>8</v>
      </c>
      <c r="B34" s="411" t="s">
        <v>625</v>
      </c>
      <c r="C34" s="411" t="s">
        <v>625</v>
      </c>
      <c r="D34" s="411" t="s">
        <v>617</v>
      </c>
      <c r="E34" s="411" t="s">
        <v>626</v>
      </c>
      <c r="F34" s="403">
        <v>0.4</v>
      </c>
      <c r="G34" s="415">
        <v>0.4</v>
      </c>
      <c r="H34" s="403">
        <v>0.4</v>
      </c>
      <c r="I34" s="403">
        <v>0.4</v>
      </c>
      <c r="J34" s="405" t="s">
        <v>515</v>
      </c>
      <c r="K34" s="405" t="s">
        <v>627</v>
      </c>
      <c r="L34" s="422" t="s">
        <v>627</v>
      </c>
      <c r="M34" s="405" t="s">
        <v>527</v>
      </c>
      <c r="N34" s="417">
        <v>70</v>
      </c>
      <c r="O34" s="417" t="s">
        <v>503</v>
      </c>
      <c r="P34" s="417" t="s">
        <v>503</v>
      </c>
      <c r="Q34" s="418">
        <v>7.1999999999999995E-2</v>
      </c>
      <c r="R34" s="418">
        <v>7.1999999999999995E-2</v>
      </c>
      <c r="S34" s="405" t="s">
        <v>305</v>
      </c>
      <c r="T34" s="419" t="s">
        <v>512</v>
      </c>
      <c r="U34" s="419" t="s">
        <v>69</v>
      </c>
      <c r="V34" s="420" t="s">
        <v>528</v>
      </c>
      <c r="W34" s="420" t="s">
        <v>504</v>
      </c>
      <c r="X34" s="510"/>
      <c r="Y34" s="510"/>
      <c r="Z34" s="507"/>
      <c r="AA34" s="513"/>
    </row>
    <row r="35" spans="1:27" x14ac:dyDescent="0.25">
      <c r="A35" s="503">
        <v>9</v>
      </c>
      <c r="B35" s="503" t="s">
        <v>530</v>
      </c>
      <c r="C35" s="503" t="s">
        <v>530</v>
      </c>
      <c r="D35" s="411" t="s">
        <v>618</v>
      </c>
      <c r="E35" s="411" t="s">
        <v>628</v>
      </c>
      <c r="F35" s="503">
        <v>0.4</v>
      </c>
      <c r="G35" s="503">
        <v>0.4</v>
      </c>
      <c r="H35" s="503">
        <v>0.4</v>
      </c>
      <c r="I35" s="503">
        <v>0.4</v>
      </c>
      <c r="J35" s="503" t="s">
        <v>515</v>
      </c>
      <c r="K35" s="503" t="s">
        <v>61</v>
      </c>
      <c r="L35" s="503" t="s">
        <v>61</v>
      </c>
      <c r="M35" s="503" t="s">
        <v>527</v>
      </c>
      <c r="N35" s="503">
        <v>95</v>
      </c>
      <c r="O35" s="503" t="s">
        <v>503</v>
      </c>
      <c r="P35" s="503" t="s">
        <v>503</v>
      </c>
      <c r="Q35" s="421">
        <v>4.3999999999999928E-2</v>
      </c>
      <c r="R35" s="421">
        <v>5.799999999999994E-2</v>
      </c>
      <c r="S35" s="503" t="s">
        <v>305</v>
      </c>
      <c r="T35" s="503" t="s">
        <v>512</v>
      </c>
      <c r="U35" s="503" t="s">
        <v>69</v>
      </c>
      <c r="V35" s="503" t="s">
        <v>528</v>
      </c>
      <c r="W35" s="503" t="s">
        <v>504</v>
      </c>
      <c r="X35" s="510"/>
      <c r="Y35" s="510"/>
      <c r="Z35" s="507"/>
      <c r="AA35" s="513"/>
    </row>
    <row r="36" spans="1:27" x14ac:dyDescent="0.25">
      <c r="A36" s="504"/>
      <c r="B36" s="504"/>
      <c r="C36" s="504"/>
      <c r="D36" s="411" t="s">
        <v>629</v>
      </c>
      <c r="E36" s="411" t="s">
        <v>630</v>
      </c>
      <c r="F36" s="504"/>
      <c r="G36" s="504"/>
      <c r="H36" s="504"/>
      <c r="I36" s="504"/>
      <c r="J36" s="504"/>
      <c r="K36" s="504"/>
      <c r="L36" s="504"/>
      <c r="M36" s="504"/>
      <c r="N36" s="504"/>
      <c r="O36" s="504"/>
      <c r="P36" s="504"/>
      <c r="Q36" s="418">
        <v>0.55900000000000005</v>
      </c>
      <c r="R36" s="418">
        <v>0.55900000000000005</v>
      </c>
      <c r="S36" s="504"/>
      <c r="T36" s="504"/>
      <c r="U36" s="504"/>
      <c r="V36" s="504"/>
      <c r="W36" s="504"/>
      <c r="X36" s="510"/>
      <c r="Y36" s="510"/>
      <c r="Z36" s="507"/>
      <c r="AA36" s="513"/>
    </row>
    <row r="37" spans="1:27" ht="31.5" x14ac:dyDescent="0.25">
      <c r="A37" s="415">
        <v>10</v>
      </c>
      <c r="B37" s="415" t="s">
        <v>531</v>
      </c>
      <c r="C37" s="415" t="s">
        <v>531</v>
      </c>
      <c r="D37" s="411" t="s">
        <v>631</v>
      </c>
      <c r="E37" s="411" t="s">
        <v>632</v>
      </c>
      <c r="F37" s="415">
        <v>0.4</v>
      </c>
      <c r="G37" s="415">
        <v>0.4</v>
      </c>
      <c r="H37" s="415">
        <v>0.4</v>
      </c>
      <c r="I37" s="415">
        <v>0.4</v>
      </c>
      <c r="J37" s="415" t="s">
        <v>515</v>
      </c>
      <c r="K37" s="415" t="s">
        <v>61</v>
      </c>
      <c r="L37" s="415" t="s">
        <v>61</v>
      </c>
      <c r="M37" s="405" t="s">
        <v>527</v>
      </c>
      <c r="N37" s="417">
        <v>70</v>
      </c>
      <c r="O37" s="415" t="s">
        <v>503</v>
      </c>
      <c r="P37" s="415" t="s">
        <v>503</v>
      </c>
      <c r="Q37" s="418">
        <v>0.26199999999999996</v>
      </c>
      <c r="R37" s="418">
        <v>0.26200000000000001</v>
      </c>
      <c r="S37" s="415" t="s">
        <v>305</v>
      </c>
      <c r="T37" s="415" t="s">
        <v>512</v>
      </c>
      <c r="U37" s="415" t="s">
        <v>69</v>
      </c>
      <c r="V37" s="415" t="s">
        <v>528</v>
      </c>
      <c r="W37" s="415" t="s">
        <v>504</v>
      </c>
      <c r="X37" s="511"/>
      <c r="Y37" s="511"/>
      <c r="Z37" s="508"/>
      <c r="AA37" s="513"/>
    </row>
    <row r="38" spans="1:27" x14ac:dyDescent="0.25">
      <c r="A38" s="401"/>
      <c r="B38" s="401"/>
      <c r="C38" s="401"/>
      <c r="D38" s="401"/>
      <c r="E38" s="401"/>
      <c r="F38" s="401"/>
      <c r="G38" s="401"/>
      <c r="H38" s="401"/>
      <c r="I38" s="401"/>
      <c r="J38" s="401"/>
      <c r="K38" s="401"/>
      <c r="L38" s="401"/>
      <c r="M38" s="401"/>
      <c r="N38" s="401"/>
      <c r="O38" s="401"/>
      <c r="P38" s="401"/>
      <c r="Q38" s="406">
        <f>SUM(Q25:Q37)</f>
        <v>1.9340000000000002</v>
      </c>
      <c r="R38" s="406">
        <f>SUM(R25:R37)</f>
        <v>1.9790000000000001</v>
      </c>
      <c r="S38" s="406">
        <f>R38-Q38</f>
        <v>4.4999999999999929E-2</v>
      </c>
      <c r="T38" s="401"/>
      <c r="U38" s="401"/>
      <c r="V38" s="401"/>
      <c r="W38" s="401"/>
      <c r="X38" s="409"/>
      <c r="Y38" s="410"/>
      <c r="Z38" s="412"/>
      <c r="AA38" s="408"/>
    </row>
    <row r="39" spans="1:27" x14ac:dyDescent="0.25">
      <c r="A39" s="401"/>
      <c r="B39" s="401"/>
      <c r="C39" s="401"/>
      <c r="D39" s="401"/>
      <c r="E39" s="401"/>
      <c r="F39" s="401"/>
      <c r="G39" s="401"/>
      <c r="H39" s="401"/>
      <c r="I39" s="401"/>
      <c r="J39" s="401"/>
      <c r="K39" s="401"/>
      <c r="L39" s="401"/>
      <c r="M39" s="401"/>
      <c r="N39" s="401"/>
      <c r="O39" s="401"/>
      <c r="P39" s="401"/>
      <c r="Q39" s="401"/>
      <c r="R39" s="407"/>
      <c r="S39" s="402"/>
      <c r="T39" s="401"/>
      <c r="U39" s="401"/>
      <c r="V39" s="401"/>
      <c r="W39" s="401"/>
      <c r="X39" s="401"/>
      <c r="Y39" s="401"/>
      <c r="Z39" s="401"/>
      <c r="AA39" s="408"/>
    </row>
    <row r="40" spans="1:27" x14ac:dyDescent="0.25">
      <c r="A40" s="401"/>
      <c r="B40" s="401"/>
      <c r="C40" s="401"/>
      <c r="D40" s="401"/>
      <c r="E40" s="401"/>
      <c r="F40" s="401"/>
      <c r="G40" s="401"/>
      <c r="H40" s="401"/>
      <c r="I40" s="401"/>
      <c r="J40" s="401"/>
      <c r="K40" s="401"/>
      <c r="L40" s="401"/>
      <c r="M40" s="401"/>
      <c r="N40" s="401"/>
      <c r="O40" s="430" t="s">
        <v>633</v>
      </c>
      <c r="P40" s="430" t="s">
        <v>634</v>
      </c>
      <c r="Q40" s="430">
        <f>Q25</f>
        <v>3.0000000000000001E-3</v>
      </c>
      <c r="R40" s="430">
        <f>R25</f>
        <v>3.0000000000000001E-3</v>
      </c>
      <c r="S40" s="429"/>
      <c r="T40" s="401"/>
      <c r="U40" s="401"/>
      <c r="V40" s="401"/>
      <c r="W40" s="401"/>
      <c r="X40" s="401"/>
      <c r="Y40" s="401"/>
      <c r="Z40" s="401"/>
      <c r="AA40" s="408"/>
    </row>
    <row r="41" spans="1:27" x14ac:dyDescent="0.25">
      <c r="A41" s="401"/>
      <c r="B41" s="401"/>
      <c r="C41" s="401"/>
      <c r="D41" s="401"/>
      <c r="E41" s="401"/>
      <c r="F41" s="401"/>
      <c r="G41" s="401"/>
      <c r="H41" s="401"/>
      <c r="I41" s="401"/>
      <c r="J41" s="401"/>
      <c r="K41" s="401"/>
      <c r="L41" s="401"/>
      <c r="M41" s="401"/>
      <c r="N41" s="401"/>
      <c r="O41" s="430" t="s">
        <v>635</v>
      </c>
      <c r="P41" s="429"/>
      <c r="Q41" s="431">
        <f>SUM(Q26:Q37)</f>
        <v>1.931</v>
      </c>
      <c r="R41" s="431">
        <f>SUM(R26:R37)</f>
        <v>1.9760000000000004</v>
      </c>
      <c r="S41" s="431">
        <f>R41-Q41</f>
        <v>4.5000000000000373E-2</v>
      </c>
      <c r="T41" s="401"/>
      <c r="U41" s="401"/>
      <c r="V41" s="401"/>
      <c r="W41" s="401"/>
      <c r="X41" s="401"/>
      <c r="Y41" s="401"/>
      <c r="Z41" s="401"/>
      <c r="AA41" s="408"/>
    </row>
    <row r="42" spans="1:27" x14ac:dyDescent="0.25">
      <c r="A42" s="401"/>
      <c r="B42" s="401"/>
      <c r="C42" s="401"/>
      <c r="D42" s="401"/>
      <c r="E42" s="401"/>
      <c r="F42" s="401"/>
      <c r="G42" s="401"/>
      <c r="H42" s="401"/>
      <c r="I42" s="401"/>
      <c r="J42" s="401"/>
      <c r="K42" s="401"/>
      <c r="L42" s="401"/>
      <c r="M42" s="401"/>
      <c r="N42" s="401"/>
      <c r="O42" s="430" t="s">
        <v>635</v>
      </c>
      <c r="P42" s="430" t="s">
        <v>634</v>
      </c>
      <c r="Q42" s="429"/>
      <c r="R42" s="431">
        <f>R28+R29+R32+R34+R36+R37</f>
        <v>1.4750000000000001</v>
      </c>
      <c r="S42" s="429"/>
      <c r="T42" s="401"/>
      <c r="U42" s="401"/>
      <c r="V42" s="401"/>
      <c r="W42" s="401"/>
      <c r="X42" s="401"/>
      <c r="Y42" s="401"/>
      <c r="Z42" s="401"/>
      <c r="AA42" s="401"/>
    </row>
    <row r="43" spans="1:27" x14ac:dyDescent="0.25">
      <c r="A43" s="401"/>
      <c r="B43" s="401"/>
      <c r="C43" s="401"/>
      <c r="D43" s="401"/>
      <c r="E43" s="401"/>
      <c r="F43" s="401"/>
      <c r="G43" s="401"/>
      <c r="H43" s="401"/>
      <c r="I43" s="401"/>
      <c r="J43" s="401"/>
      <c r="K43" s="401"/>
      <c r="L43" s="401"/>
      <c r="M43" s="401"/>
      <c r="N43" s="401"/>
      <c r="O43" s="430" t="s">
        <v>636</v>
      </c>
      <c r="P43" s="429"/>
      <c r="Q43" s="431">
        <f>Q38-Q27</f>
        <v>1.6800000000000002</v>
      </c>
      <c r="R43" s="429"/>
      <c r="S43" s="429"/>
      <c r="T43" s="401"/>
      <c r="U43" s="401"/>
      <c r="V43" s="401"/>
      <c r="W43" s="401"/>
      <c r="X43" s="401"/>
      <c r="Y43" s="401"/>
      <c r="Z43" s="401"/>
      <c r="AA43" s="401"/>
    </row>
    <row r="44" spans="1:27" x14ac:dyDescent="0.25">
      <c r="A44" s="401"/>
      <c r="B44" s="401"/>
      <c r="C44" s="401"/>
      <c r="D44" s="401"/>
      <c r="E44" s="401"/>
      <c r="F44" s="401"/>
      <c r="G44" s="401"/>
      <c r="H44" s="401"/>
      <c r="I44" s="401"/>
      <c r="J44" s="401"/>
      <c r="K44" s="401"/>
      <c r="L44" s="401"/>
      <c r="M44" s="401"/>
      <c r="N44" s="401"/>
      <c r="O44" s="429"/>
      <c r="P44" s="430" t="s">
        <v>637</v>
      </c>
      <c r="Q44" s="431"/>
      <c r="R44" s="431">
        <f>R38-R45</f>
        <v>1.5990000000000002</v>
      </c>
      <c r="S44" s="429"/>
      <c r="T44" s="401"/>
      <c r="U44" s="401"/>
      <c r="V44" s="401"/>
      <c r="W44" s="401"/>
      <c r="X44" s="401"/>
      <c r="Y44" s="401"/>
      <c r="Z44" s="401"/>
      <c r="AA44" s="401"/>
    </row>
    <row r="45" spans="1:27" x14ac:dyDescent="0.25">
      <c r="A45" s="401"/>
      <c r="B45" s="401"/>
      <c r="C45" s="401"/>
      <c r="D45" s="401"/>
      <c r="E45" s="401"/>
      <c r="F45" s="401"/>
      <c r="G45" s="401"/>
      <c r="H45" s="401"/>
      <c r="I45" s="401"/>
      <c r="J45" s="401"/>
      <c r="K45" s="401"/>
      <c r="L45" s="401"/>
      <c r="M45" s="401"/>
      <c r="N45" s="401"/>
      <c r="O45" s="429"/>
      <c r="P45" s="430" t="s">
        <v>638</v>
      </c>
      <c r="Q45" s="431"/>
      <c r="R45" s="431">
        <f>R27+R30+R33+R34</f>
        <v>0.38</v>
      </c>
      <c r="S45" s="429"/>
      <c r="T45" s="401"/>
      <c r="U45" s="401"/>
      <c r="V45" s="401"/>
      <c r="W45" s="401"/>
      <c r="X45" s="401"/>
      <c r="Y45" s="401"/>
      <c r="Z45" s="401"/>
      <c r="AA45" s="401"/>
    </row>
  </sheetData>
  <mergeCells count="90">
    <mergeCell ref="AA28:AA29"/>
    <mergeCell ref="V35:V36"/>
    <mergeCell ref="W35:W36"/>
    <mergeCell ref="V28:V29"/>
    <mergeCell ref="W28:W29"/>
    <mergeCell ref="X28:X29"/>
    <mergeCell ref="Y28:Y29"/>
    <mergeCell ref="Z28:Z29"/>
    <mergeCell ref="Z31:Z37"/>
    <mergeCell ref="X31:X37"/>
    <mergeCell ref="AA31:AA37"/>
    <mergeCell ref="Y31:Y37"/>
    <mergeCell ref="V31:V32"/>
    <mergeCell ref="W31:W32"/>
    <mergeCell ref="O28:O29"/>
    <mergeCell ref="P28:P29"/>
    <mergeCell ref="S28:S29"/>
    <mergeCell ref="T28:T29"/>
    <mergeCell ref="U28:U29"/>
    <mergeCell ref="H28:H29"/>
    <mergeCell ref="I28:I29"/>
    <mergeCell ref="J28:J29"/>
    <mergeCell ref="K28:K29"/>
    <mergeCell ref="L28:L29"/>
    <mergeCell ref="A28:A29"/>
    <mergeCell ref="B28:B29"/>
    <mergeCell ref="C28:C29"/>
    <mergeCell ref="F28:F29"/>
    <mergeCell ref="G28:G29"/>
    <mergeCell ref="H31:H32"/>
    <mergeCell ref="I31:I32"/>
    <mergeCell ref="J31:J32"/>
    <mergeCell ref="K31:K32"/>
    <mergeCell ref="L31:L32"/>
    <mergeCell ref="A31:A32"/>
    <mergeCell ref="P35:P36"/>
    <mergeCell ref="H35:H36"/>
    <mergeCell ref="I35:I36"/>
    <mergeCell ref="J35:J36"/>
    <mergeCell ref="K35:K36"/>
    <mergeCell ref="L35:L36"/>
    <mergeCell ref="A35:A36"/>
    <mergeCell ref="B35:B36"/>
    <mergeCell ref="C35:C36"/>
    <mergeCell ref="F35:F36"/>
    <mergeCell ref="G35:G36"/>
    <mergeCell ref="B31:B32"/>
    <mergeCell ref="C31:C32"/>
    <mergeCell ref="F31:F32"/>
    <mergeCell ref="G31:G32"/>
    <mergeCell ref="S35:S36"/>
    <mergeCell ref="T35:T36"/>
    <mergeCell ref="U35:U36"/>
    <mergeCell ref="U31:U32"/>
    <mergeCell ref="M35:M36"/>
    <mergeCell ref="N35:N36"/>
    <mergeCell ref="O35:O36"/>
    <mergeCell ref="T31:T32"/>
    <mergeCell ref="M31:M32"/>
    <mergeCell ref="N31:N32"/>
    <mergeCell ref="O31:O32"/>
    <mergeCell ref="P31:P32"/>
    <mergeCell ref="S31:S32"/>
    <mergeCell ref="F22:G22"/>
    <mergeCell ref="H22:I22"/>
    <mergeCell ref="B21:C22"/>
    <mergeCell ref="E18:Y18"/>
    <mergeCell ref="M21:N22"/>
    <mergeCell ref="Q21:R22"/>
    <mergeCell ref="S21:S22"/>
    <mergeCell ref="T21:T22"/>
    <mergeCell ref="X21:Y21"/>
    <mergeCell ref="V21:W22"/>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136.5703125" style="26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0" t="s">
        <v>65</v>
      </c>
      <c r="E1" s="15"/>
      <c r="F1" s="15"/>
    </row>
    <row r="2" spans="1:29" s="11" customFormat="1" ht="18.75" customHeight="1" x14ac:dyDescent="0.3">
      <c r="A2" s="17"/>
      <c r="C2" s="251" t="s">
        <v>7</v>
      </c>
      <c r="E2" s="15"/>
      <c r="F2" s="15"/>
    </row>
    <row r="3" spans="1:29" s="11" customFormat="1" ht="18.75" x14ac:dyDescent="0.3">
      <c r="A3" s="16"/>
      <c r="C3" s="251" t="s">
        <v>513</v>
      </c>
      <c r="E3" s="15"/>
      <c r="F3" s="15"/>
    </row>
    <row r="4" spans="1:29" s="11" customFormat="1" ht="18.75" x14ac:dyDescent="0.3">
      <c r="A4" s="16"/>
      <c r="C4" s="251"/>
      <c r="E4" s="15"/>
      <c r="F4" s="15"/>
    </row>
    <row r="5" spans="1:29" s="11" customFormat="1" ht="15.75" x14ac:dyDescent="0.2">
      <c r="A5" s="459" t="str">
        <f>'1. паспорт местоположение'!A5:C5</f>
        <v>Год раскрытия информации: 2025 год</v>
      </c>
      <c r="B5" s="459"/>
      <c r="C5" s="459"/>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row>
    <row r="6" spans="1:29" s="11" customFormat="1" ht="18.75" x14ac:dyDescent="0.3">
      <c r="A6" s="16"/>
      <c r="C6" s="15"/>
      <c r="E6" s="15"/>
      <c r="F6" s="15"/>
      <c r="G6" s="14"/>
    </row>
    <row r="7" spans="1:29" s="11" customFormat="1" ht="18.75" x14ac:dyDescent="0.2">
      <c r="A7" s="473" t="s">
        <v>6</v>
      </c>
      <c r="B7" s="473"/>
      <c r="C7" s="473"/>
      <c r="D7" s="12"/>
      <c r="E7" s="12"/>
      <c r="F7" s="12"/>
      <c r="G7" s="12"/>
      <c r="H7" s="12"/>
      <c r="I7" s="12"/>
      <c r="J7" s="12"/>
      <c r="K7" s="12"/>
      <c r="L7" s="12"/>
      <c r="M7" s="12"/>
      <c r="N7" s="12"/>
      <c r="O7" s="12"/>
      <c r="P7" s="12"/>
      <c r="Q7" s="12"/>
      <c r="R7" s="12"/>
      <c r="S7" s="12"/>
      <c r="T7" s="12"/>
      <c r="U7" s="12"/>
    </row>
    <row r="8" spans="1:29" s="11" customFormat="1" ht="18.75" x14ac:dyDescent="0.2">
      <c r="A8" s="473"/>
      <c r="B8" s="473"/>
      <c r="C8" s="473"/>
      <c r="D8" s="13"/>
      <c r="E8" s="13"/>
      <c r="F8" s="13"/>
      <c r="G8" s="13"/>
      <c r="H8" s="12"/>
      <c r="I8" s="12"/>
      <c r="J8" s="12"/>
      <c r="K8" s="12"/>
      <c r="L8" s="12"/>
      <c r="M8" s="12"/>
      <c r="N8" s="12"/>
      <c r="O8" s="12"/>
      <c r="P8" s="12"/>
      <c r="Q8" s="12"/>
      <c r="R8" s="12"/>
      <c r="S8" s="12"/>
      <c r="T8" s="12"/>
      <c r="U8" s="12"/>
    </row>
    <row r="9" spans="1:29" s="11" customFormat="1" ht="18.75" x14ac:dyDescent="0.2">
      <c r="A9" s="467" t="str">
        <f>'1. паспорт местоположение'!A9:C9</f>
        <v>Акционерное общество "Россети Янтарь" ДЗО  ПАО "Россети"</v>
      </c>
      <c r="B9" s="467"/>
      <c r="C9" s="467"/>
      <c r="D9" s="7"/>
      <c r="E9" s="7"/>
      <c r="F9" s="7"/>
      <c r="G9" s="7"/>
      <c r="H9" s="12"/>
      <c r="I9" s="12"/>
      <c r="J9" s="12"/>
      <c r="K9" s="12"/>
      <c r="L9" s="12"/>
      <c r="M9" s="12"/>
      <c r="N9" s="12"/>
      <c r="O9" s="12"/>
      <c r="P9" s="12"/>
      <c r="Q9" s="12"/>
      <c r="R9" s="12"/>
      <c r="S9" s="12"/>
      <c r="T9" s="12"/>
      <c r="U9" s="12"/>
    </row>
    <row r="10" spans="1:29" s="11" customFormat="1" ht="18.75" x14ac:dyDescent="0.2">
      <c r="A10" s="472" t="s">
        <v>5</v>
      </c>
      <c r="B10" s="472"/>
      <c r="C10" s="472"/>
      <c r="D10" s="5"/>
      <c r="E10" s="5"/>
      <c r="F10" s="5"/>
      <c r="G10" s="5"/>
      <c r="H10" s="12"/>
      <c r="I10" s="12"/>
      <c r="J10" s="12"/>
      <c r="K10" s="12"/>
      <c r="L10" s="12"/>
      <c r="M10" s="12"/>
      <c r="N10" s="12"/>
      <c r="O10" s="12"/>
      <c r="P10" s="12"/>
      <c r="Q10" s="12"/>
      <c r="R10" s="12"/>
      <c r="S10" s="12"/>
      <c r="T10" s="12"/>
      <c r="U10" s="12"/>
    </row>
    <row r="11" spans="1:29" s="11" customFormat="1" ht="18.75" x14ac:dyDescent="0.2">
      <c r="A11" s="473"/>
      <c r="B11" s="473"/>
      <c r="C11" s="473"/>
      <c r="D11" s="13"/>
      <c r="E11" s="13"/>
      <c r="F11" s="13"/>
      <c r="G11" s="13"/>
      <c r="H11" s="12"/>
      <c r="I11" s="12"/>
      <c r="J11" s="12"/>
      <c r="K11" s="12"/>
      <c r="L11" s="12"/>
      <c r="M11" s="12"/>
      <c r="N11" s="12"/>
      <c r="O11" s="12"/>
      <c r="P11" s="12"/>
      <c r="Q11" s="12"/>
      <c r="R11" s="12"/>
      <c r="S11" s="12"/>
      <c r="T11" s="12"/>
      <c r="U11" s="12"/>
    </row>
    <row r="12" spans="1:29" s="11" customFormat="1" ht="18.75" x14ac:dyDescent="0.2">
      <c r="A12" s="467" t="str">
        <f>'1. паспорт местоположение'!A12:C12</f>
        <v>N_22-1289</v>
      </c>
      <c r="B12" s="467"/>
      <c r="C12" s="467"/>
      <c r="D12" s="7"/>
      <c r="E12" s="7"/>
      <c r="F12" s="7"/>
      <c r="G12" s="7"/>
      <c r="H12" s="12"/>
      <c r="I12" s="12"/>
      <c r="J12" s="12"/>
      <c r="K12" s="12"/>
      <c r="L12" s="12"/>
      <c r="M12" s="12"/>
      <c r="N12" s="12"/>
      <c r="O12" s="12"/>
      <c r="P12" s="12"/>
      <c r="Q12" s="12"/>
      <c r="R12" s="12"/>
      <c r="S12" s="12"/>
      <c r="T12" s="12"/>
      <c r="U12" s="12"/>
    </row>
    <row r="13" spans="1:29" s="11" customFormat="1" ht="18.75" x14ac:dyDescent="0.2">
      <c r="A13" s="472" t="s">
        <v>4</v>
      </c>
      <c r="B13" s="472"/>
      <c r="C13" s="47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4"/>
      <c r="B14" s="474"/>
      <c r="C14" s="474"/>
      <c r="D14" s="9"/>
      <c r="E14" s="9"/>
      <c r="F14" s="9"/>
      <c r="G14" s="9"/>
      <c r="H14" s="9"/>
      <c r="I14" s="9"/>
      <c r="J14" s="9"/>
      <c r="K14" s="9"/>
      <c r="L14" s="9"/>
      <c r="M14" s="9"/>
      <c r="N14" s="9"/>
      <c r="O14" s="9"/>
      <c r="P14" s="9"/>
      <c r="Q14" s="9"/>
      <c r="R14" s="9"/>
      <c r="S14" s="9"/>
      <c r="T14" s="9"/>
      <c r="U14" s="9"/>
    </row>
    <row r="15" spans="1:29" s="3" customFormat="1" ht="27" customHeight="1" x14ac:dyDescent="0.2">
      <c r="A15" s="482"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482"/>
      <c r="C15" s="482"/>
      <c r="D15" s="7"/>
      <c r="E15" s="7"/>
      <c r="F15" s="7"/>
      <c r="G15" s="7"/>
      <c r="H15" s="7"/>
      <c r="I15" s="7"/>
      <c r="J15" s="7"/>
      <c r="K15" s="7"/>
      <c r="L15" s="7"/>
      <c r="M15" s="7"/>
      <c r="N15" s="7"/>
      <c r="O15" s="7"/>
      <c r="P15" s="7"/>
      <c r="Q15" s="7"/>
      <c r="R15" s="7"/>
      <c r="S15" s="7"/>
      <c r="T15" s="7"/>
      <c r="U15" s="7"/>
    </row>
    <row r="16" spans="1:29" s="3" customFormat="1" ht="15" customHeight="1" x14ac:dyDescent="0.2">
      <c r="A16" s="472" t="s">
        <v>3</v>
      </c>
      <c r="B16" s="472"/>
      <c r="C16" s="472"/>
      <c r="D16" s="5"/>
      <c r="E16" s="5"/>
      <c r="F16" s="5"/>
      <c r="G16" s="5"/>
      <c r="H16" s="5"/>
      <c r="I16" s="5"/>
      <c r="J16" s="5"/>
      <c r="K16" s="5"/>
      <c r="L16" s="5"/>
      <c r="M16" s="5"/>
      <c r="N16" s="5"/>
      <c r="O16" s="5"/>
      <c r="P16" s="5"/>
      <c r="Q16" s="5"/>
      <c r="R16" s="5"/>
      <c r="S16" s="5"/>
      <c r="T16" s="5"/>
      <c r="U16" s="5"/>
    </row>
    <row r="17" spans="1:21" s="3" customFormat="1" ht="15" customHeight="1" x14ac:dyDescent="0.2">
      <c r="A17" s="469"/>
      <c r="B17" s="469"/>
      <c r="C17" s="469"/>
      <c r="D17" s="4"/>
      <c r="E17" s="4"/>
      <c r="F17" s="4"/>
      <c r="G17" s="4"/>
      <c r="H17" s="4"/>
      <c r="I17" s="4"/>
      <c r="J17" s="4"/>
      <c r="K17" s="4"/>
      <c r="L17" s="4"/>
      <c r="M17" s="4"/>
      <c r="N17" s="4"/>
      <c r="O17" s="4"/>
      <c r="P17" s="4"/>
      <c r="Q17" s="4"/>
      <c r="R17" s="4"/>
    </row>
    <row r="18" spans="1:21" s="3" customFormat="1" ht="27.75" customHeight="1" x14ac:dyDescent="0.2">
      <c r="A18" s="470" t="s">
        <v>416</v>
      </c>
      <c r="B18" s="470"/>
      <c r="C18" s="47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6"/>
      <c r="D19" s="5"/>
      <c r="E19" s="5"/>
      <c r="F19" s="5"/>
      <c r="G19" s="5"/>
      <c r="H19" s="4"/>
      <c r="I19" s="4"/>
      <c r="J19" s="4"/>
      <c r="K19" s="4"/>
      <c r="L19" s="4"/>
      <c r="M19" s="4"/>
      <c r="N19" s="4"/>
      <c r="O19" s="4"/>
      <c r="P19" s="4"/>
      <c r="Q19" s="4"/>
      <c r="R19" s="4"/>
    </row>
    <row r="20" spans="1:21" s="3" customFormat="1" ht="39.75" customHeight="1" x14ac:dyDescent="0.2">
      <c r="A20" s="24" t="s">
        <v>2</v>
      </c>
      <c r="B20" s="32" t="s">
        <v>63</v>
      </c>
      <c r="C20" s="26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2">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429</v>
      </c>
      <c r="C22" s="283" t="s">
        <v>510</v>
      </c>
      <c r="D22" s="28"/>
      <c r="E22" s="28"/>
      <c r="F22" s="27"/>
      <c r="G22" s="27"/>
      <c r="H22" s="27"/>
      <c r="I22" s="27"/>
      <c r="J22" s="27"/>
      <c r="K22" s="27"/>
      <c r="L22" s="27"/>
      <c r="M22" s="27"/>
      <c r="N22" s="27"/>
      <c r="O22" s="27"/>
      <c r="P22" s="27"/>
      <c r="Q22" s="26"/>
      <c r="R22" s="26"/>
      <c r="S22" s="26"/>
      <c r="T22" s="26"/>
      <c r="U22" s="26"/>
    </row>
    <row r="23" spans="1:21" ht="54.75" customHeight="1" x14ac:dyDescent="0.25">
      <c r="A23" s="23" t="s">
        <v>60</v>
      </c>
      <c r="B23" s="25" t="s">
        <v>57</v>
      </c>
      <c r="C23" s="276" t="s">
        <v>514</v>
      </c>
      <c r="D23" s="22"/>
      <c r="E23" s="22"/>
      <c r="F23" s="22"/>
      <c r="G23" s="22"/>
      <c r="H23" s="22"/>
      <c r="I23" s="22"/>
      <c r="J23" s="22"/>
      <c r="K23" s="22"/>
      <c r="L23" s="22"/>
      <c r="M23" s="22"/>
      <c r="N23" s="22"/>
      <c r="O23" s="22"/>
      <c r="P23" s="22"/>
      <c r="Q23" s="22"/>
      <c r="R23" s="22"/>
      <c r="S23" s="22"/>
      <c r="T23" s="22"/>
      <c r="U23" s="22"/>
    </row>
    <row r="24" spans="1:21" ht="393.75" x14ac:dyDescent="0.25">
      <c r="A24" s="23" t="s">
        <v>59</v>
      </c>
      <c r="B24" s="25" t="s">
        <v>449</v>
      </c>
      <c r="C24" s="433" t="s">
        <v>642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432" t="s">
        <v>646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432" t="s">
        <v>501</v>
      </c>
      <c r="D26" s="22"/>
      <c r="E26" s="22"/>
      <c r="F26" s="22"/>
      <c r="G26" s="22"/>
      <c r="H26" s="22"/>
      <c r="I26" s="22"/>
      <c r="J26" s="22"/>
      <c r="K26" s="22"/>
      <c r="L26" s="22"/>
      <c r="M26" s="22"/>
      <c r="N26" s="22"/>
      <c r="O26" s="22"/>
      <c r="P26" s="22"/>
      <c r="Q26" s="22"/>
      <c r="R26" s="22"/>
      <c r="S26" s="22"/>
      <c r="T26" s="22"/>
      <c r="U26" s="22"/>
    </row>
    <row r="27" spans="1:21" ht="236.25" x14ac:dyDescent="0.25">
      <c r="A27" s="23" t="s">
        <v>55</v>
      </c>
      <c r="B27" s="25" t="s">
        <v>430</v>
      </c>
      <c r="C27" s="432" t="s">
        <v>579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9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9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643</v>
      </c>
      <c r="D30" s="22"/>
      <c r="E30" s="22"/>
      <c r="F30" s="22"/>
      <c r="G30" s="22"/>
      <c r="H30" s="22"/>
      <c r="I30" s="22"/>
      <c r="J30" s="22"/>
      <c r="K30" s="22"/>
      <c r="L30" s="22"/>
      <c r="M30" s="22"/>
      <c r="N30" s="22"/>
      <c r="O30" s="22"/>
      <c r="P30" s="22"/>
      <c r="Q30" s="22"/>
      <c r="R30" s="22"/>
      <c r="S30" s="22"/>
      <c r="T30" s="22"/>
      <c r="U30" s="22"/>
    </row>
    <row r="31" spans="1:21" x14ac:dyDescent="0.25">
      <c r="A31" s="22"/>
      <c r="B31" s="22"/>
      <c r="C31" s="265"/>
      <c r="D31" s="22"/>
      <c r="E31" s="22"/>
      <c r="F31" s="22"/>
      <c r="G31" s="22"/>
      <c r="H31" s="22"/>
      <c r="I31" s="22"/>
      <c r="J31" s="22"/>
      <c r="K31" s="22"/>
      <c r="L31" s="22"/>
      <c r="M31" s="22"/>
      <c r="N31" s="22"/>
      <c r="O31" s="22"/>
      <c r="P31" s="22"/>
      <c r="Q31" s="22"/>
      <c r="R31" s="22"/>
      <c r="S31" s="22"/>
      <c r="T31" s="22"/>
      <c r="U31" s="22"/>
    </row>
    <row r="32" spans="1:21" x14ac:dyDescent="0.25">
      <c r="A32" s="22"/>
      <c r="B32" s="22"/>
      <c r="C32" s="265"/>
      <c r="D32" s="22"/>
      <c r="E32" s="22"/>
      <c r="F32" s="22"/>
      <c r="G32" s="22"/>
      <c r="H32" s="22"/>
      <c r="I32" s="22"/>
      <c r="J32" s="22"/>
      <c r="K32" s="22"/>
      <c r="L32" s="22"/>
      <c r="M32" s="22"/>
      <c r="N32" s="22"/>
      <c r="O32" s="22"/>
      <c r="P32" s="22"/>
      <c r="Q32" s="22"/>
      <c r="R32" s="22"/>
      <c r="S32" s="22"/>
      <c r="T32" s="22"/>
      <c r="U32" s="22"/>
    </row>
    <row r="33" spans="1:21" x14ac:dyDescent="0.25">
      <c r="A33" s="22"/>
      <c r="B33" s="22"/>
      <c r="C33" s="265"/>
      <c r="D33" s="22"/>
      <c r="E33" s="22"/>
      <c r="F33" s="22"/>
      <c r="G33" s="22"/>
      <c r="H33" s="22"/>
      <c r="I33" s="22"/>
      <c r="J33" s="22"/>
      <c r="K33" s="22"/>
      <c r="L33" s="22"/>
      <c r="M33" s="22"/>
      <c r="N33" s="22"/>
      <c r="O33" s="22"/>
      <c r="P33" s="22"/>
      <c r="Q33" s="22"/>
      <c r="R33" s="22"/>
      <c r="S33" s="22"/>
      <c r="T33" s="22"/>
      <c r="U33" s="22"/>
    </row>
    <row r="34" spans="1:21" x14ac:dyDescent="0.25">
      <c r="A34" s="22"/>
      <c r="B34" s="22"/>
      <c r="C34" s="265"/>
      <c r="D34" s="22"/>
      <c r="E34" s="22"/>
      <c r="F34" s="22"/>
      <c r="G34" s="22"/>
      <c r="H34" s="22"/>
      <c r="I34" s="22"/>
      <c r="J34" s="22"/>
      <c r="K34" s="22"/>
      <c r="L34" s="22"/>
      <c r="M34" s="22"/>
      <c r="N34" s="22"/>
      <c r="O34" s="22"/>
      <c r="P34" s="22"/>
      <c r="Q34" s="22"/>
      <c r="R34" s="22"/>
      <c r="S34" s="22"/>
      <c r="T34" s="22"/>
      <c r="U34" s="22"/>
    </row>
    <row r="35" spans="1:21" x14ac:dyDescent="0.25">
      <c r="A35" s="22"/>
      <c r="B35" s="22"/>
      <c r="C35" s="265"/>
      <c r="D35" s="22"/>
      <c r="E35" s="22"/>
      <c r="F35" s="22"/>
      <c r="G35" s="22"/>
      <c r="H35" s="22"/>
      <c r="I35" s="22"/>
      <c r="J35" s="22"/>
      <c r="K35" s="22"/>
      <c r="L35" s="22"/>
      <c r="M35" s="22"/>
      <c r="N35" s="22"/>
      <c r="O35" s="22"/>
      <c r="P35" s="22"/>
      <c r="Q35" s="22"/>
      <c r="R35" s="22"/>
      <c r="S35" s="22"/>
      <c r="T35" s="22"/>
      <c r="U35" s="22"/>
    </row>
    <row r="36" spans="1:21" x14ac:dyDescent="0.25">
      <c r="A36" s="22"/>
      <c r="B36" s="22"/>
      <c r="C36" s="265"/>
      <c r="D36" s="22"/>
      <c r="E36" s="22"/>
      <c r="F36" s="22"/>
      <c r="G36" s="22"/>
      <c r="H36" s="22"/>
      <c r="I36" s="22"/>
      <c r="J36" s="22"/>
      <c r="K36" s="22"/>
      <c r="L36" s="22"/>
      <c r="M36" s="22"/>
      <c r="N36" s="22"/>
      <c r="O36" s="22"/>
      <c r="P36" s="22"/>
      <c r="Q36" s="22"/>
      <c r="R36" s="22"/>
      <c r="S36" s="22"/>
      <c r="T36" s="22"/>
      <c r="U36" s="22"/>
    </row>
    <row r="37" spans="1:21" x14ac:dyDescent="0.25">
      <c r="A37" s="22"/>
      <c r="B37" s="22"/>
      <c r="C37" s="265"/>
      <c r="D37" s="22"/>
      <c r="E37" s="22"/>
      <c r="F37" s="22"/>
      <c r="G37" s="22"/>
      <c r="H37" s="22"/>
      <c r="I37" s="22"/>
      <c r="J37" s="22"/>
      <c r="K37" s="22"/>
      <c r="L37" s="22"/>
      <c r="M37" s="22"/>
      <c r="N37" s="22"/>
      <c r="O37" s="22"/>
      <c r="P37" s="22"/>
      <c r="Q37" s="22"/>
      <c r="R37" s="22"/>
      <c r="S37" s="22"/>
      <c r="T37" s="22"/>
      <c r="U37" s="22"/>
    </row>
    <row r="38" spans="1:21" x14ac:dyDescent="0.25">
      <c r="A38" s="22"/>
      <c r="B38" s="22"/>
      <c r="C38" s="265"/>
      <c r="D38" s="22"/>
      <c r="E38" s="22"/>
      <c r="F38" s="22"/>
      <c r="G38" s="22"/>
      <c r="H38" s="22"/>
      <c r="I38" s="22"/>
      <c r="J38" s="22"/>
      <c r="K38" s="22"/>
      <c r="L38" s="22"/>
      <c r="M38" s="22"/>
      <c r="N38" s="22"/>
      <c r="O38" s="22"/>
      <c r="P38" s="22"/>
      <c r="Q38" s="22"/>
      <c r="R38" s="22"/>
      <c r="S38" s="22"/>
      <c r="T38" s="22"/>
      <c r="U38" s="22"/>
    </row>
    <row r="39" spans="1:21" x14ac:dyDescent="0.25">
      <c r="A39" s="22"/>
      <c r="B39" s="22"/>
      <c r="C39" s="265"/>
      <c r="D39" s="22"/>
      <c r="E39" s="22"/>
      <c r="F39" s="22"/>
      <c r="G39" s="22"/>
      <c r="H39" s="22"/>
      <c r="I39" s="22"/>
      <c r="J39" s="22"/>
      <c r="K39" s="22"/>
      <c r="L39" s="22"/>
      <c r="M39" s="22"/>
      <c r="N39" s="22"/>
      <c r="O39" s="22"/>
      <c r="P39" s="22"/>
      <c r="Q39" s="22"/>
      <c r="R39" s="22"/>
      <c r="S39" s="22"/>
      <c r="T39" s="22"/>
      <c r="U39" s="22"/>
    </row>
    <row r="40" spans="1:21" x14ac:dyDescent="0.25">
      <c r="A40" s="22"/>
      <c r="B40" s="22"/>
      <c r="C40" s="265"/>
      <c r="D40" s="22"/>
      <c r="E40" s="22"/>
      <c r="F40" s="22"/>
      <c r="G40" s="22"/>
      <c r="H40" s="22"/>
      <c r="I40" s="22"/>
      <c r="J40" s="22"/>
      <c r="K40" s="22"/>
      <c r="L40" s="22"/>
      <c r="M40" s="22"/>
      <c r="N40" s="22"/>
      <c r="O40" s="22"/>
      <c r="P40" s="22"/>
      <c r="Q40" s="22"/>
      <c r="R40" s="22"/>
      <c r="S40" s="22"/>
      <c r="T40" s="22"/>
      <c r="U40" s="22"/>
    </row>
    <row r="41" spans="1:21" x14ac:dyDescent="0.25">
      <c r="A41" s="22"/>
      <c r="B41" s="22"/>
      <c r="C41" s="265"/>
      <c r="D41" s="22"/>
      <c r="E41" s="22"/>
      <c r="F41" s="22"/>
      <c r="G41" s="22"/>
      <c r="H41" s="22"/>
      <c r="I41" s="22"/>
      <c r="J41" s="22"/>
      <c r="K41" s="22"/>
      <c r="L41" s="22"/>
      <c r="M41" s="22"/>
      <c r="N41" s="22"/>
      <c r="O41" s="22"/>
      <c r="P41" s="22"/>
      <c r="Q41" s="22"/>
      <c r="R41" s="22"/>
      <c r="S41" s="22"/>
      <c r="T41" s="22"/>
      <c r="U41" s="22"/>
    </row>
    <row r="42" spans="1:21" x14ac:dyDescent="0.25">
      <c r="A42" s="22"/>
      <c r="B42" s="22"/>
      <c r="C42" s="265"/>
      <c r="D42" s="22"/>
      <c r="E42" s="22"/>
      <c r="F42" s="22"/>
      <c r="G42" s="22"/>
      <c r="H42" s="22"/>
      <c r="I42" s="22"/>
      <c r="J42" s="22"/>
      <c r="K42" s="22"/>
      <c r="L42" s="22"/>
      <c r="M42" s="22"/>
      <c r="N42" s="22"/>
      <c r="O42" s="22"/>
      <c r="P42" s="22"/>
      <c r="Q42" s="22"/>
      <c r="R42" s="22"/>
      <c r="S42" s="22"/>
      <c r="T42" s="22"/>
      <c r="U42" s="22"/>
    </row>
    <row r="43" spans="1:21" x14ac:dyDescent="0.25">
      <c r="A43" s="22"/>
      <c r="B43" s="22"/>
      <c r="C43" s="265"/>
      <c r="D43" s="22"/>
      <c r="E43" s="22"/>
      <c r="F43" s="22"/>
      <c r="G43" s="22"/>
      <c r="H43" s="22"/>
      <c r="I43" s="22"/>
      <c r="J43" s="22"/>
      <c r="K43" s="22"/>
      <c r="L43" s="22"/>
      <c r="M43" s="22"/>
      <c r="N43" s="22"/>
      <c r="O43" s="22"/>
      <c r="P43" s="22"/>
      <c r="Q43" s="22"/>
      <c r="R43" s="22"/>
      <c r="S43" s="22"/>
      <c r="T43" s="22"/>
      <c r="U43" s="22"/>
    </row>
    <row r="44" spans="1:21" x14ac:dyDescent="0.25">
      <c r="A44" s="22"/>
      <c r="B44" s="22"/>
      <c r="C44" s="265"/>
      <c r="D44" s="22"/>
      <c r="E44" s="22"/>
      <c r="F44" s="22"/>
      <c r="G44" s="22"/>
      <c r="H44" s="22"/>
      <c r="I44" s="22"/>
      <c r="J44" s="22"/>
      <c r="K44" s="22"/>
      <c r="L44" s="22"/>
      <c r="M44" s="22"/>
      <c r="N44" s="22"/>
      <c r="O44" s="22"/>
      <c r="P44" s="22"/>
      <c r="Q44" s="22"/>
      <c r="R44" s="22"/>
      <c r="S44" s="22"/>
      <c r="T44" s="22"/>
      <c r="U44" s="22"/>
    </row>
    <row r="45" spans="1:21" x14ac:dyDescent="0.25">
      <c r="A45" s="22"/>
      <c r="B45" s="22"/>
      <c r="C45" s="265"/>
      <c r="D45" s="22"/>
      <c r="E45" s="22"/>
      <c r="F45" s="22"/>
      <c r="G45" s="22"/>
      <c r="H45" s="22"/>
      <c r="I45" s="22"/>
      <c r="J45" s="22"/>
      <c r="K45" s="22"/>
      <c r="L45" s="22"/>
      <c r="M45" s="22"/>
      <c r="N45" s="22"/>
      <c r="O45" s="22"/>
      <c r="P45" s="22"/>
      <c r="Q45" s="22"/>
      <c r="R45" s="22"/>
      <c r="S45" s="22"/>
      <c r="T45" s="22"/>
      <c r="U45" s="22"/>
    </row>
    <row r="46" spans="1:21" x14ac:dyDescent="0.25">
      <c r="A46" s="22"/>
      <c r="B46" s="22"/>
      <c r="C46" s="265"/>
      <c r="D46" s="22"/>
      <c r="E46" s="22"/>
      <c r="F46" s="22"/>
      <c r="G46" s="22"/>
      <c r="H46" s="22"/>
      <c r="I46" s="22"/>
      <c r="J46" s="22"/>
      <c r="K46" s="22"/>
      <c r="L46" s="22"/>
      <c r="M46" s="22"/>
      <c r="N46" s="22"/>
      <c r="O46" s="22"/>
      <c r="P46" s="22"/>
      <c r="Q46" s="22"/>
      <c r="R46" s="22"/>
      <c r="S46" s="22"/>
      <c r="T46" s="22"/>
      <c r="U46" s="22"/>
    </row>
    <row r="47" spans="1:21" x14ac:dyDescent="0.25">
      <c r="A47" s="22"/>
      <c r="B47" s="22"/>
      <c r="C47" s="265"/>
      <c r="D47" s="22"/>
      <c r="E47" s="22"/>
      <c r="F47" s="22"/>
      <c r="G47" s="22"/>
      <c r="H47" s="22"/>
      <c r="I47" s="22"/>
      <c r="J47" s="22"/>
      <c r="K47" s="22"/>
      <c r="L47" s="22"/>
      <c r="M47" s="22"/>
      <c r="N47" s="22"/>
      <c r="O47" s="22"/>
      <c r="P47" s="22"/>
      <c r="Q47" s="22"/>
      <c r="R47" s="22"/>
      <c r="S47" s="22"/>
      <c r="T47" s="22"/>
      <c r="U47" s="22"/>
    </row>
    <row r="48" spans="1:21" x14ac:dyDescent="0.25">
      <c r="A48" s="22"/>
      <c r="B48" s="22"/>
      <c r="C48" s="265"/>
      <c r="D48" s="22"/>
      <c r="E48" s="22"/>
      <c r="F48" s="22"/>
      <c r="G48" s="22"/>
      <c r="H48" s="22"/>
      <c r="I48" s="22"/>
      <c r="J48" s="22"/>
      <c r="K48" s="22"/>
      <c r="L48" s="22"/>
      <c r="M48" s="22"/>
      <c r="N48" s="22"/>
      <c r="O48" s="22"/>
      <c r="P48" s="22"/>
      <c r="Q48" s="22"/>
      <c r="R48" s="22"/>
      <c r="S48" s="22"/>
      <c r="T48" s="22"/>
      <c r="U48" s="22"/>
    </row>
    <row r="49" spans="1:21" x14ac:dyDescent="0.25">
      <c r="A49" s="22"/>
      <c r="B49" s="22"/>
      <c r="C49" s="265"/>
      <c r="D49" s="22"/>
      <c r="E49" s="22"/>
      <c r="F49" s="22"/>
      <c r="G49" s="22"/>
      <c r="H49" s="22"/>
      <c r="I49" s="22"/>
      <c r="J49" s="22"/>
      <c r="K49" s="22"/>
      <c r="L49" s="22"/>
      <c r="M49" s="22"/>
      <c r="N49" s="22"/>
      <c r="O49" s="22"/>
      <c r="P49" s="22"/>
      <c r="Q49" s="22"/>
      <c r="R49" s="22"/>
      <c r="S49" s="22"/>
      <c r="T49" s="22"/>
      <c r="U49" s="22"/>
    </row>
    <row r="50" spans="1:21" x14ac:dyDescent="0.25">
      <c r="A50" s="22"/>
      <c r="B50" s="22"/>
      <c r="C50" s="265"/>
      <c r="D50" s="22"/>
      <c r="E50" s="22"/>
      <c r="F50" s="22"/>
      <c r="G50" s="22"/>
      <c r="H50" s="22"/>
      <c r="I50" s="22"/>
      <c r="J50" s="22"/>
      <c r="K50" s="22"/>
      <c r="L50" s="22"/>
      <c r="M50" s="22"/>
      <c r="N50" s="22"/>
      <c r="O50" s="22"/>
      <c r="P50" s="22"/>
      <c r="Q50" s="22"/>
      <c r="R50" s="22"/>
      <c r="S50" s="22"/>
      <c r="T50" s="22"/>
      <c r="U50" s="22"/>
    </row>
    <row r="51" spans="1:21" x14ac:dyDescent="0.25">
      <c r="A51" s="22"/>
      <c r="B51" s="22"/>
      <c r="C51" s="265"/>
      <c r="D51" s="22"/>
      <c r="E51" s="22"/>
      <c r="F51" s="22"/>
      <c r="G51" s="22"/>
      <c r="H51" s="22"/>
      <c r="I51" s="22"/>
      <c r="J51" s="22"/>
      <c r="K51" s="22"/>
      <c r="L51" s="22"/>
      <c r="M51" s="22"/>
      <c r="N51" s="22"/>
      <c r="O51" s="22"/>
      <c r="P51" s="22"/>
      <c r="Q51" s="22"/>
      <c r="R51" s="22"/>
      <c r="S51" s="22"/>
      <c r="T51" s="22"/>
      <c r="U51" s="22"/>
    </row>
    <row r="52" spans="1:21" x14ac:dyDescent="0.25">
      <c r="A52" s="22"/>
      <c r="B52" s="22"/>
      <c r="C52" s="265"/>
      <c r="D52" s="22"/>
      <c r="E52" s="22"/>
      <c r="F52" s="22"/>
      <c r="G52" s="22"/>
      <c r="H52" s="22"/>
      <c r="I52" s="22"/>
      <c r="J52" s="22"/>
      <c r="K52" s="22"/>
      <c r="L52" s="22"/>
      <c r="M52" s="22"/>
      <c r="N52" s="22"/>
      <c r="O52" s="22"/>
      <c r="P52" s="22"/>
      <c r="Q52" s="22"/>
      <c r="R52" s="22"/>
      <c r="S52" s="22"/>
      <c r="T52" s="22"/>
      <c r="U52" s="22"/>
    </row>
    <row r="53" spans="1:21" x14ac:dyDescent="0.25">
      <c r="A53" s="22"/>
      <c r="B53" s="22"/>
      <c r="C53" s="265"/>
      <c r="D53" s="22"/>
      <c r="E53" s="22"/>
      <c r="F53" s="22"/>
      <c r="G53" s="22"/>
      <c r="H53" s="22"/>
      <c r="I53" s="22"/>
      <c r="J53" s="22"/>
      <c r="K53" s="22"/>
      <c r="L53" s="22"/>
      <c r="M53" s="22"/>
      <c r="N53" s="22"/>
      <c r="O53" s="22"/>
      <c r="P53" s="22"/>
      <c r="Q53" s="22"/>
      <c r="R53" s="22"/>
      <c r="S53" s="22"/>
      <c r="T53" s="22"/>
      <c r="U53" s="22"/>
    </row>
    <row r="54" spans="1:21" x14ac:dyDescent="0.25">
      <c r="A54" s="22"/>
      <c r="B54" s="22"/>
      <c r="C54" s="265"/>
      <c r="D54" s="22"/>
      <c r="E54" s="22"/>
      <c r="F54" s="22"/>
      <c r="G54" s="22"/>
      <c r="H54" s="22"/>
      <c r="I54" s="22"/>
      <c r="J54" s="22"/>
      <c r="K54" s="22"/>
      <c r="L54" s="22"/>
      <c r="M54" s="22"/>
      <c r="N54" s="22"/>
      <c r="O54" s="22"/>
      <c r="P54" s="22"/>
      <c r="Q54" s="22"/>
      <c r="R54" s="22"/>
      <c r="S54" s="22"/>
      <c r="T54" s="22"/>
      <c r="U54" s="22"/>
    </row>
    <row r="55" spans="1:21" x14ac:dyDescent="0.25">
      <c r="A55" s="22"/>
      <c r="B55" s="22"/>
      <c r="C55" s="265"/>
      <c r="D55" s="22"/>
      <c r="E55" s="22"/>
      <c r="F55" s="22"/>
      <c r="G55" s="22"/>
      <c r="H55" s="22"/>
      <c r="I55" s="22"/>
      <c r="J55" s="22"/>
      <c r="K55" s="22"/>
      <c r="L55" s="22"/>
      <c r="M55" s="22"/>
      <c r="N55" s="22"/>
      <c r="O55" s="22"/>
      <c r="P55" s="22"/>
      <c r="Q55" s="22"/>
      <c r="R55" s="22"/>
      <c r="S55" s="22"/>
      <c r="T55" s="22"/>
      <c r="U55" s="22"/>
    </row>
    <row r="56" spans="1:21" x14ac:dyDescent="0.25">
      <c r="A56" s="22"/>
      <c r="B56" s="22"/>
      <c r="C56" s="265"/>
      <c r="D56" s="22"/>
      <c r="E56" s="22"/>
      <c r="F56" s="22"/>
      <c r="G56" s="22"/>
      <c r="H56" s="22"/>
      <c r="I56" s="22"/>
      <c r="J56" s="22"/>
      <c r="K56" s="22"/>
      <c r="L56" s="22"/>
      <c r="M56" s="22"/>
      <c r="N56" s="22"/>
      <c r="O56" s="22"/>
      <c r="P56" s="22"/>
      <c r="Q56" s="22"/>
      <c r="R56" s="22"/>
      <c r="S56" s="22"/>
      <c r="T56" s="22"/>
      <c r="U56" s="22"/>
    </row>
    <row r="57" spans="1:21" x14ac:dyDescent="0.25">
      <c r="A57" s="22"/>
      <c r="B57" s="22"/>
      <c r="C57" s="265"/>
      <c r="D57" s="22"/>
      <c r="E57" s="22"/>
      <c r="F57" s="22"/>
      <c r="G57" s="22"/>
      <c r="H57" s="22"/>
      <c r="I57" s="22"/>
      <c r="J57" s="22"/>
      <c r="K57" s="22"/>
      <c r="L57" s="22"/>
      <c r="M57" s="22"/>
      <c r="N57" s="22"/>
      <c r="O57" s="22"/>
      <c r="P57" s="22"/>
      <c r="Q57" s="22"/>
      <c r="R57" s="22"/>
      <c r="S57" s="22"/>
      <c r="T57" s="22"/>
      <c r="U57" s="22"/>
    </row>
    <row r="58" spans="1:21" x14ac:dyDescent="0.25">
      <c r="A58" s="22"/>
      <c r="B58" s="22"/>
      <c r="C58" s="265"/>
      <c r="D58" s="22"/>
      <c r="E58" s="22"/>
      <c r="F58" s="22"/>
      <c r="G58" s="22"/>
      <c r="H58" s="22"/>
      <c r="I58" s="22"/>
      <c r="J58" s="22"/>
      <c r="K58" s="22"/>
      <c r="L58" s="22"/>
      <c r="M58" s="22"/>
      <c r="N58" s="22"/>
      <c r="O58" s="22"/>
      <c r="P58" s="22"/>
      <c r="Q58" s="22"/>
      <c r="R58" s="22"/>
      <c r="S58" s="22"/>
      <c r="T58" s="22"/>
      <c r="U58" s="22"/>
    </row>
    <row r="59" spans="1:21" x14ac:dyDescent="0.25">
      <c r="A59" s="22"/>
      <c r="B59" s="22"/>
      <c r="C59" s="265"/>
      <c r="D59" s="22"/>
      <c r="E59" s="22"/>
      <c r="F59" s="22"/>
      <c r="G59" s="22"/>
      <c r="H59" s="22"/>
      <c r="I59" s="22"/>
      <c r="J59" s="22"/>
      <c r="K59" s="22"/>
      <c r="L59" s="22"/>
      <c r="M59" s="22"/>
      <c r="N59" s="22"/>
      <c r="O59" s="22"/>
      <c r="P59" s="22"/>
      <c r="Q59" s="22"/>
      <c r="R59" s="22"/>
      <c r="S59" s="22"/>
      <c r="T59" s="22"/>
      <c r="U59" s="22"/>
    </row>
    <row r="60" spans="1:21" x14ac:dyDescent="0.25">
      <c r="A60" s="22"/>
      <c r="B60" s="22"/>
      <c r="C60" s="265"/>
      <c r="D60" s="22"/>
      <c r="E60" s="22"/>
      <c r="F60" s="22"/>
      <c r="G60" s="22"/>
      <c r="H60" s="22"/>
      <c r="I60" s="22"/>
      <c r="J60" s="22"/>
      <c r="K60" s="22"/>
      <c r="L60" s="22"/>
      <c r="M60" s="22"/>
      <c r="N60" s="22"/>
      <c r="O60" s="22"/>
      <c r="P60" s="22"/>
      <c r="Q60" s="22"/>
      <c r="R60" s="22"/>
      <c r="S60" s="22"/>
      <c r="T60" s="22"/>
      <c r="U60" s="22"/>
    </row>
    <row r="61" spans="1:21" x14ac:dyDescent="0.25">
      <c r="A61" s="22"/>
      <c r="B61" s="22"/>
      <c r="C61" s="265"/>
      <c r="D61" s="22"/>
      <c r="E61" s="22"/>
      <c r="F61" s="22"/>
      <c r="G61" s="22"/>
      <c r="H61" s="22"/>
      <c r="I61" s="22"/>
      <c r="J61" s="22"/>
      <c r="K61" s="22"/>
      <c r="L61" s="22"/>
      <c r="M61" s="22"/>
      <c r="N61" s="22"/>
      <c r="O61" s="22"/>
      <c r="P61" s="22"/>
      <c r="Q61" s="22"/>
      <c r="R61" s="22"/>
      <c r="S61" s="22"/>
      <c r="T61" s="22"/>
      <c r="U61" s="22"/>
    </row>
    <row r="62" spans="1:21" x14ac:dyDescent="0.25">
      <c r="A62" s="22"/>
      <c r="B62" s="22"/>
      <c r="C62" s="265"/>
      <c r="D62" s="22"/>
      <c r="E62" s="22"/>
      <c r="F62" s="22"/>
      <c r="G62" s="22"/>
      <c r="H62" s="22"/>
      <c r="I62" s="22"/>
      <c r="J62" s="22"/>
      <c r="K62" s="22"/>
      <c r="L62" s="22"/>
      <c r="M62" s="22"/>
      <c r="N62" s="22"/>
      <c r="O62" s="22"/>
      <c r="P62" s="22"/>
      <c r="Q62" s="22"/>
      <c r="R62" s="22"/>
      <c r="S62" s="22"/>
      <c r="T62" s="22"/>
      <c r="U62" s="22"/>
    </row>
    <row r="63" spans="1:21" x14ac:dyDescent="0.25">
      <c r="A63" s="22"/>
      <c r="B63" s="22"/>
      <c r="C63" s="265"/>
      <c r="D63" s="22"/>
      <c r="E63" s="22"/>
      <c r="F63" s="22"/>
      <c r="G63" s="22"/>
      <c r="H63" s="22"/>
      <c r="I63" s="22"/>
      <c r="J63" s="22"/>
      <c r="K63" s="22"/>
      <c r="L63" s="22"/>
      <c r="M63" s="22"/>
      <c r="N63" s="22"/>
      <c r="O63" s="22"/>
      <c r="P63" s="22"/>
      <c r="Q63" s="22"/>
      <c r="R63" s="22"/>
      <c r="S63" s="22"/>
      <c r="T63" s="22"/>
      <c r="U63" s="22"/>
    </row>
    <row r="64" spans="1:21" x14ac:dyDescent="0.25">
      <c r="A64" s="22"/>
      <c r="B64" s="22"/>
      <c r="C64" s="265"/>
      <c r="D64" s="22"/>
      <c r="E64" s="22"/>
      <c r="F64" s="22"/>
      <c r="G64" s="22"/>
      <c r="H64" s="22"/>
      <c r="I64" s="22"/>
      <c r="J64" s="22"/>
      <c r="K64" s="22"/>
      <c r="L64" s="22"/>
      <c r="M64" s="22"/>
      <c r="N64" s="22"/>
      <c r="O64" s="22"/>
      <c r="P64" s="22"/>
      <c r="Q64" s="22"/>
      <c r="R64" s="22"/>
      <c r="S64" s="22"/>
      <c r="T64" s="22"/>
      <c r="U64" s="22"/>
    </row>
    <row r="65" spans="1:21" x14ac:dyDescent="0.25">
      <c r="A65" s="22"/>
      <c r="B65" s="22"/>
      <c r="C65" s="265"/>
      <c r="D65" s="22"/>
      <c r="E65" s="22"/>
      <c r="F65" s="22"/>
      <c r="G65" s="22"/>
      <c r="H65" s="22"/>
      <c r="I65" s="22"/>
      <c r="J65" s="22"/>
      <c r="K65" s="22"/>
      <c r="L65" s="22"/>
      <c r="M65" s="22"/>
      <c r="N65" s="22"/>
      <c r="O65" s="22"/>
      <c r="P65" s="22"/>
      <c r="Q65" s="22"/>
      <c r="R65" s="22"/>
      <c r="S65" s="22"/>
      <c r="T65" s="22"/>
      <c r="U65" s="22"/>
    </row>
    <row r="66" spans="1:21" x14ac:dyDescent="0.25">
      <c r="A66" s="22"/>
      <c r="B66" s="22"/>
      <c r="C66" s="265"/>
      <c r="D66" s="22"/>
      <c r="E66" s="22"/>
      <c r="F66" s="22"/>
      <c r="G66" s="22"/>
      <c r="H66" s="22"/>
      <c r="I66" s="22"/>
      <c r="J66" s="22"/>
      <c r="K66" s="22"/>
      <c r="L66" s="22"/>
      <c r="M66" s="22"/>
      <c r="N66" s="22"/>
      <c r="O66" s="22"/>
      <c r="P66" s="22"/>
      <c r="Q66" s="22"/>
      <c r="R66" s="22"/>
      <c r="S66" s="22"/>
      <c r="T66" s="22"/>
      <c r="U66" s="22"/>
    </row>
    <row r="67" spans="1:21" x14ac:dyDescent="0.25">
      <c r="A67" s="22"/>
      <c r="B67" s="22"/>
      <c r="C67" s="265"/>
      <c r="D67" s="22"/>
      <c r="E67" s="22"/>
      <c r="F67" s="22"/>
      <c r="G67" s="22"/>
      <c r="H67" s="22"/>
      <c r="I67" s="22"/>
      <c r="J67" s="22"/>
      <c r="K67" s="22"/>
      <c r="L67" s="22"/>
      <c r="M67" s="22"/>
      <c r="N67" s="22"/>
      <c r="O67" s="22"/>
      <c r="P67" s="22"/>
      <c r="Q67" s="22"/>
      <c r="R67" s="22"/>
      <c r="S67" s="22"/>
      <c r="T67" s="22"/>
      <c r="U67" s="22"/>
    </row>
    <row r="68" spans="1:21" x14ac:dyDescent="0.25">
      <c r="A68" s="22"/>
      <c r="B68" s="22"/>
      <c r="C68" s="265"/>
      <c r="D68" s="22"/>
      <c r="E68" s="22"/>
      <c r="F68" s="22"/>
      <c r="G68" s="22"/>
      <c r="H68" s="22"/>
      <c r="I68" s="22"/>
      <c r="J68" s="22"/>
      <c r="K68" s="22"/>
      <c r="L68" s="22"/>
      <c r="M68" s="22"/>
      <c r="N68" s="22"/>
      <c r="O68" s="22"/>
      <c r="P68" s="22"/>
      <c r="Q68" s="22"/>
      <c r="R68" s="22"/>
      <c r="S68" s="22"/>
      <c r="T68" s="22"/>
      <c r="U68" s="22"/>
    </row>
    <row r="69" spans="1:21" x14ac:dyDescent="0.25">
      <c r="A69" s="22"/>
      <c r="B69" s="22"/>
      <c r="C69" s="265"/>
      <c r="D69" s="22"/>
      <c r="E69" s="22"/>
      <c r="F69" s="22"/>
      <c r="G69" s="22"/>
      <c r="H69" s="22"/>
      <c r="I69" s="22"/>
      <c r="J69" s="22"/>
      <c r="K69" s="22"/>
      <c r="L69" s="22"/>
      <c r="M69" s="22"/>
      <c r="N69" s="22"/>
      <c r="O69" s="22"/>
      <c r="P69" s="22"/>
      <c r="Q69" s="22"/>
      <c r="R69" s="22"/>
      <c r="S69" s="22"/>
      <c r="T69" s="22"/>
      <c r="U69" s="22"/>
    </row>
    <row r="70" spans="1:21" x14ac:dyDescent="0.25">
      <c r="A70" s="22"/>
      <c r="B70" s="22"/>
      <c r="C70" s="265"/>
      <c r="D70" s="22"/>
      <c r="E70" s="22"/>
      <c r="F70" s="22"/>
      <c r="G70" s="22"/>
      <c r="H70" s="22"/>
      <c r="I70" s="22"/>
      <c r="J70" s="22"/>
      <c r="K70" s="22"/>
      <c r="L70" s="22"/>
      <c r="M70" s="22"/>
      <c r="N70" s="22"/>
      <c r="O70" s="22"/>
      <c r="P70" s="22"/>
      <c r="Q70" s="22"/>
      <c r="R70" s="22"/>
      <c r="S70" s="22"/>
      <c r="T70" s="22"/>
      <c r="U70" s="22"/>
    </row>
    <row r="71" spans="1:21" x14ac:dyDescent="0.25">
      <c r="A71" s="22"/>
      <c r="B71" s="22"/>
      <c r="C71" s="265"/>
      <c r="D71" s="22"/>
      <c r="E71" s="22"/>
      <c r="F71" s="22"/>
      <c r="G71" s="22"/>
      <c r="H71" s="22"/>
      <c r="I71" s="22"/>
      <c r="J71" s="22"/>
      <c r="K71" s="22"/>
      <c r="L71" s="22"/>
      <c r="M71" s="22"/>
      <c r="N71" s="22"/>
      <c r="O71" s="22"/>
      <c r="P71" s="22"/>
      <c r="Q71" s="22"/>
      <c r="R71" s="22"/>
      <c r="S71" s="22"/>
      <c r="T71" s="22"/>
      <c r="U71" s="22"/>
    </row>
    <row r="72" spans="1:21" x14ac:dyDescent="0.25">
      <c r="A72" s="22"/>
      <c r="B72" s="22"/>
      <c r="C72" s="265"/>
      <c r="D72" s="22"/>
      <c r="E72" s="22"/>
      <c r="F72" s="22"/>
      <c r="G72" s="22"/>
      <c r="H72" s="22"/>
      <c r="I72" s="22"/>
      <c r="J72" s="22"/>
      <c r="K72" s="22"/>
      <c r="L72" s="22"/>
      <c r="M72" s="22"/>
      <c r="N72" s="22"/>
      <c r="O72" s="22"/>
      <c r="P72" s="22"/>
      <c r="Q72" s="22"/>
      <c r="R72" s="22"/>
      <c r="S72" s="22"/>
      <c r="T72" s="22"/>
      <c r="U72" s="22"/>
    </row>
    <row r="73" spans="1:21" x14ac:dyDescent="0.25">
      <c r="A73" s="22"/>
      <c r="B73" s="22"/>
      <c r="C73" s="265"/>
      <c r="D73" s="22"/>
      <c r="E73" s="22"/>
      <c r="F73" s="22"/>
      <c r="G73" s="22"/>
      <c r="H73" s="22"/>
      <c r="I73" s="22"/>
      <c r="J73" s="22"/>
      <c r="K73" s="22"/>
      <c r="L73" s="22"/>
      <c r="M73" s="22"/>
      <c r="N73" s="22"/>
      <c r="O73" s="22"/>
      <c r="P73" s="22"/>
      <c r="Q73" s="22"/>
      <c r="R73" s="22"/>
      <c r="S73" s="22"/>
      <c r="T73" s="22"/>
      <c r="U73" s="22"/>
    </row>
    <row r="74" spans="1:21" x14ac:dyDescent="0.25">
      <c r="A74" s="22"/>
      <c r="B74" s="22"/>
      <c r="C74" s="265"/>
      <c r="D74" s="22"/>
      <c r="E74" s="22"/>
      <c r="F74" s="22"/>
      <c r="G74" s="22"/>
      <c r="H74" s="22"/>
      <c r="I74" s="22"/>
      <c r="J74" s="22"/>
      <c r="K74" s="22"/>
      <c r="L74" s="22"/>
      <c r="M74" s="22"/>
      <c r="N74" s="22"/>
      <c r="O74" s="22"/>
      <c r="P74" s="22"/>
      <c r="Q74" s="22"/>
      <c r="R74" s="22"/>
      <c r="S74" s="22"/>
      <c r="T74" s="22"/>
      <c r="U74" s="22"/>
    </row>
    <row r="75" spans="1:21" x14ac:dyDescent="0.25">
      <c r="A75" s="22"/>
      <c r="B75" s="22"/>
      <c r="C75" s="265"/>
      <c r="D75" s="22"/>
      <c r="E75" s="22"/>
      <c r="F75" s="22"/>
      <c r="G75" s="22"/>
      <c r="H75" s="22"/>
      <c r="I75" s="22"/>
      <c r="J75" s="22"/>
      <c r="K75" s="22"/>
      <c r="L75" s="22"/>
      <c r="M75" s="22"/>
      <c r="N75" s="22"/>
      <c r="O75" s="22"/>
      <c r="P75" s="22"/>
      <c r="Q75" s="22"/>
      <c r="R75" s="22"/>
      <c r="S75" s="22"/>
      <c r="T75" s="22"/>
      <c r="U75" s="22"/>
    </row>
    <row r="76" spans="1:21" x14ac:dyDescent="0.25">
      <c r="A76" s="22"/>
      <c r="B76" s="22"/>
      <c r="C76" s="265"/>
      <c r="D76" s="22"/>
      <c r="E76" s="22"/>
      <c r="F76" s="22"/>
      <c r="G76" s="22"/>
      <c r="H76" s="22"/>
      <c r="I76" s="22"/>
      <c r="J76" s="22"/>
      <c r="K76" s="22"/>
      <c r="L76" s="22"/>
      <c r="M76" s="22"/>
      <c r="N76" s="22"/>
      <c r="O76" s="22"/>
      <c r="P76" s="22"/>
      <c r="Q76" s="22"/>
      <c r="R76" s="22"/>
      <c r="S76" s="22"/>
      <c r="T76" s="22"/>
      <c r="U76" s="22"/>
    </row>
    <row r="77" spans="1:21" x14ac:dyDescent="0.25">
      <c r="A77" s="22"/>
      <c r="B77" s="22"/>
      <c r="C77" s="265"/>
      <c r="D77" s="22"/>
      <c r="E77" s="22"/>
      <c r="F77" s="22"/>
      <c r="G77" s="22"/>
      <c r="H77" s="22"/>
      <c r="I77" s="22"/>
      <c r="J77" s="22"/>
      <c r="K77" s="22"/>
      <c r="L77" s="22"/>
      <c r="M77" s="22"/>
      <c r="N77" s="22"/>
      <c r="O77" s="22"/>
      <c r="P77" s="22"/>
      <c r="Q77" s="22"/>
      <c r="R77" s="22"/>
      <c r="S77" s="22"/>
      <c r="T77" s="22"/>
      <c r="U77" s="22"/>
    </row>
    <row r="78" spans="1:21" x14ac:dyDescent="0.25">
      <c r="A78" s="22"/>
      <c r="B78" s="22"/>
      <c r="C78" s="265"/>
      <c r="D78" s="22"/>
      <c r="E78" s="22"/>
      <c r="F78" s="22"/>
      <c r="G78" s="22"/>
      <c r="H78" s="22"/>
      <c r="I78" s="22"/>
      <c r="J78" s="22"/>
      <c r="K78" s="22"/>
      <c r="L78" s="22"/>
      <c r="M78" s="22"/>
      <c r="N78" s="22"/>
      <c r="O78" s="22"/>
      <c r="P78" s="22"/>
      <c r="Q78" s="22"/>
      <c r="R78" s="22"/>
      <c r="S78" s="22"/>
      <c r="T78" s="22"/>
      <c r="U78" s="22"/>
    </row>
    <row r="79" spans="1:21" x14ac:dyDescent="0.25">
      <c r="A79" s="22"/>
      <c r="B79" s="22"/>
      <c r="C79" s="265"/>
      <c r="D79" s="22"/>
      <c r="E79" s="22"/>
      <c r="F79" s="22"/>
      <c r="G79" s="22"/>
      <c r="H79" s="22"/>
      <c r="I79" s="22"/>
      <c r="J79" s="22"/>
      <c r="K79" s="22"/>
      <c r="L79" s="22"/>
      <c r="M79" s="22"/>
      <c r="N79" s="22"/>
      <c r="O79" s="22"/>
      <c r="P79" s="22"/>
      <c r="Q79" s="22"/>
      <c r="R79" s="22"/>
      <c r="S79" s="22"/>
      <c r="T79" s="22"/>
      <c r="U79" s="22"/>
    </row>
    <row r="80" spans="1:21" x14ac:dyDescent="0.25">
      <c r="A80" s="22"/>
      <c r="B80" s="22"/>
      <c r="C80" s="265"/>
      <c r="D80" s="22"/>
      <c r="E80" s="22"/>
      <c r="F80" s="22"/>
      <c r="G80" s="22"/>
      <c r="H80" s="22"/>
      <c r="I80" s="22"/>
      <c r="J80" s="22"/>
      <c r="K80" s="22"/>
      <c r="L80" s="22"/>
      <c r="M80" s="22"/>
      <c r="N80" s="22"/>
      <c r="O80" s="22"/>
      <c r="P80" s="22"/>
      <c r="Q80" s="22"/>
      <c r="R80" s="22"/>
      <c r="S80" s="22"/>
      <c r="T80" s="22"/>
      <c r="U80" s="22"/>
    </row>
    <row r="81" spans="1:21" x14ac:dyDescent="0.25">
      <c r="A81" s="22"/>
      <c r="B81" s="22"/>
      <c r="C81" s="265"/>
      <c r="D81" s="22"/>
      <c r="E81" s="22"/>
      <c r="F81" s="22"/>
      <c r="G81" s="22"/>
      <c r="H81" s="22"/>
      <c r="I81" s="22"/>
      <c r="J81" s="22"/>
      <c r="K81" s="22"/>
      <c r="L81" s="22"/>
      <c r="M81" s="22"/>
      <c r="N81" s="22"/>
      <c r="O81" s="22"/>
      <c r="P81" s="22"/>
      <c r="Q81" s="22"/>
      <c r="R81" s="22"/>
      <c r="S81" s="22"/>
      <c r="T81" s="22"/>
      <c r="U81" s="22"/>
    </row>
    <row r="82" spans="1:21" x14ac:dyDescent="0.25">
      <c r="A82" s="22"/>
      <c r="B82" s="22"/>
      <c r="C82" s="265"/>
      <c r="D82" s="22"/>
      <c r="E82" s="22"/>
      <c r="F82" s="22"/>
      <c r="G82" s="22"/>
      <c r="H82" s="22"/>
      <c r="I82" s="22"/>
      <c r="J82" s="22"/>
      <c r="K82" s="22"/>
      <c r="L82" s="22"/>
      <c r="M82" s="22"/>
      <c r="N82" s="22"/>
      <c r="O82" s="22"/>
      <c r="P82" s="22"/>
      <c r="Q82" s="22"/>
      <c r="R82" s="22"/>
      <c r="S82" s="22"/>
      <c r="T82" s="22"/>
      <c r="U82" s="22"/>
    </row>
    <row r="83" spans="1:21" x14ac:dyDescent="0.25">
      <c r="A83" s="22"/>
      <c r="B83" s="22"/>
      <c r="C83" s="265"/>
      <c r="D83" s="22"/>
      <c r="E83" s="22"/>
      <c r="F83" s="22"/>
      <c r="G83" s="22"/>
      <c r="H83" s="22"/>
      <c r="I83" s="22"/>
      <c r="J83" s="22"/>
      <c r="K83" s="22"/>
      <c r="L83" s="22"/>
      <c r="M83" s="22"/>
      <c r="N83" s="22"/>
      <c r="O83" s="22"/>
      <c r="P83" s="22"/>
      <c r="Q83" s="22"/>
      <c r="R83" s="22"/>
      <c r="S83" s="22"/>
      <c r="T83" s="22"/>
      <c r="U83" s="22"/>
    </row>
    <row r="84" spans="1:21" x14ac:dyDescent="0.25">
      <c r="A84" s="22"/>
      <c r="B84" s="22"/>
      <c r="C84" s="265"/>
      <c r="D84" s="22"/>
      <c r="E84" s="22"/>
      <c r="F84" s="22"/>
      <c r="G84" s="22"/>
      <c r="H84" s="22"/>
      <c r="I84" s="22"/>
      <c r="J84" s="22"/>
      <c r="K84" s="22"/>
      <c r="L84" s="22"/>
      <c r="M84" s="22"/>
      <c r="N84" s="22"/>
      <c r="O84" s="22"/>
      <c r="P84" s="22"/>
      <c r="Q84" s="22"/>
      <c r="R84" s="22"/>
      <c r="S84" s="22"/>
      <c r="T84" s="22"/>
      <c r="U84" s="22"/>
    </row>
    <row r="85" spans="1:21" x14ac:dyDescent="0.25">
      <c r="A85" s="22"/>
      <c r="B85" s="22"/>
      <c r="C85" s="265"/>
      <c r="D85" s="22"/>
      <c r="E85" s="22"/>
      <c r="F85" s="22"/>
      <c r="G85" s="22"/>
      <c r="H85" s="22"/>
      <c r="I85" s="22"/>
      <c r="J85" s="22"/>
      <c r="K85" s="22"/>
      <c r="L85" s="22"/>
      <c r="M85" s="22"/>
      <c r="N85" s="22"/>
      <c r="O85" s="22"/>
      <c r="P85" s="22"/>
      <c r="Q85" s="22"/>
      <c r="R85" s="22"/>
      <c r="S85" s="22"/>
      <c r="T85" s="22"/>
      <c r="U85" s="22"/>
    </row>
    <row r="86" spans="1:21" x14ac:dyDescent="0.25">
      <c r="A86" s="22"/>
      <c r="B86" s="22"/>
      <c r="C86" s="265"/>
      <c r="D86" s="22"/>
      <c r="E86" s="22"/>
      <c r="F86" s="22"/>
      <c r="G86" s="22"/>
      <c r="H86" s="22"/>
      <c r="I86" s="22"/>
      <c r="J86" s="22"/>
      <c r="K86" s="22"/>
      <c r="L86" s="22"/>
      <c r="M86" s="22"/>
      <c r="N86" s="22"/>
      <c r="O86" s="22"/>
      <c r="P86" s="22"/>
      <c r="Q86" s="22"/>
      <c r="R86" s="22"/>
      <c r="S86" s="22"/>
      <c r="T86" s="22"/>
      <c r="U86" s="22"/>
    </row>
    <row r="87" spans="1:21" x14ac:dyDescent="0.25">
      <c r="A87" s="22"/>
      <c r="B87" s="22"/>
      <c r="C87" s="265"/>
      <c r="D87" s="22"/>
      <c r="E87" s="22"/>
      <c r="F87" s="22"/>
      <c r="G87" s="22"/>
      <c r="H87" s="22"/>
      <c r="I87" s="22"/>
      <c r="J87" s="22"/>
      <c r="K87" s="22"/>
      <c r="L87" s="22"/>
      <c r="M87" s="22"/>
      <c r="N87" s="22"/>
      <c r="O87" s="22"/>
      <c r="P87" s="22"/>
      <c r="Q87" s="22"/>
      <c r="R87" s="22"/>
      <c r="S87" s="22"/>
      <c r="T87" s="22"/>
      <c r="U87" s="22"/>
    </row>
    <row r="88" spans="1:21" x14ac:dyDescent="0.25">
      <c r="A88" s="22"/>
      <c r="B88" s="22"/>
      <c r="C88" s="265"/>
      <c r="D88" s="22"/>
      <c r="E88" s="22"/>
      <c r="F88" s="22"/>
      <c r="G88" s="22"/>
      <c r="H88" s="22"/>
      <c r="I88" s="22"/>
      <c r="J88" s="22"/>
      <c r="K88" s="22"/>
      <c r="L88" s="22"/>
      <c r="M88" s="22"/>
      <c r="N88" s="22"/>
      <c r="O88" s="22"/>
      <c r="P88" s="22"/>
      <c r="Q88" s="22"/>
      <c r="R88" s="22"/>
      <c r="S88" s="22"/>
      <c r="T88" s="22"/>
      <c r="U88" s="22"/>
    </row>
    <row r="89" spans="1:21" x14ac:dyDescent="0.25">
      <c r="A89" s="22"/>
      <c r="B89" s="22"/>
      <c r="C89" s="265"/>
      <c r="D89" s="22"/>
      <c r="E89" s="22"/>
      <c r="F89" s="22"/>
      <c r="G89" s="22"/>
      <c r="H89" s="22"/>
      <c r="I89" s="22"/>
      <c r="J89" s="22"/>
      <c r="K89" s="22"/>
      <c r="L89" s="22"/>
      <c r="M89" s="22"/>
      <c r="N89" s="22"/>
      <c r="O89" s="22"/>
      <c r="P89" s="22"/>
      <c r="Q89" s="22"/>
      <c r="R89" s="22"/>
      <c r="S89" s="22"/>
      <c r="T89" s="22"/>
      <c r="U89" s="22"/>
    </row>
    <row r="90" spans="1:21" x14ac:dyDescent="0.25">
      <c r="A90" s="22"/>
      <c r="B90" s="22"/>
      <c r="C90" s="265"/>
      <c r="D90" s="22"/>
      <c r="E90" s="22"/>
      <c r="F90" s="22"/>
      <c r="G90" s="22"/>
      <c r="H90" s="22"/>
      <c r="I90" s="22"/>
      <c r="J90" s="22"/>
      <c r="K90" s="22"/>
      <c r="L90" s="22"/>
      <c r="M90" s="22"/>
      <c r="N90" s="22"/>
      <c r="O90" s="22"/>
      <c r="P90" s="22"/>
      <c r="Q90" s="22"/>
      <c r="R90" s="22"/>
      <c r="S90" s="22"/>
      <c r="T90" s="22"/>
      <c r="U90" s="22"/>
    </row>
    <row r="91" spans="1:21" x14ac:dyDescent="0.25">
      <c r="A91" s="22"/>
      <c r="B91" s="22"/>
      <c r="C91" s="265"/>
      <c r="D91" s="22"/>
      <c r="E91" s="22"/>
      <c r="F91" s="22"/>
      <c r="G91" s="22"/>
      <c r="H91" s="22"/>
      <c r="I91" s="22"/>
      <c r="J91" s="22"/>
      <c r="K91" s="22"/>
      <c r="L91" s="22"/>
      <c r="M91" s="22"/>
      <c r="N91" s="22"/>
      <c r="O91" s="22"/>
      <c r="P91" s="22"/>
      <c r="Q91" s="22"/>
      <c r="R91" s="22"/>
      <c r="S91" s="22"/>
      <c r="T91" s="22"/>
      <c r="U91" s="22"/>
    </row>
    <row r="92" spans="1:21" x14ac:dyDescent="0.25">
      <c r="A92" s="22"/>
      <c r="B92" s="22"/>
      <c r="C92" s="265"/>
      <c r="D92" s="22"/>
      <c r="E92" s="22"/>
      <c r="F92" s="22"/>
      <c r="G92" s="22"/>
      <c r="H92" s="22"/>
      <c r="I92" s="22"/>
      <c r="J92" s="22"/>
      <c r="K92" s="22"/>
      <c r="L92" s="22"/>
      <c r="M92" s="22"/>
      <c r="N92" s="22"/>
      <c r="O92" s="22"/>
      <c r="P92" s="22"/>
      <c r="Q92" s="22"/>
      <c r="R92" s="22"/>
      <c r="S92" s="22"/>
      <c r="T92" s="22"/>
      <c r="U92" s="22"/>
    </row>
    <row r="93" spans="1:21" x14ac:dyDescent="0.25">
      <c r="A93" s="22"/>
      <c r="B93" s="22"/>
      <c r="C93" s="265"/>
      <c r="D93" s="22"/>
      <c r="E93" s="22"/>
      <c r="F93" s="22"/>
      <c r="G93" s="22"/>
      <c r="H93" s="22"/>
      <c r="I93" s="22"/>
      <c r="J93" s="22"/>
      <c r="K93" s="22"/>
      <c r="L93" s="22"/>
      <c r="M93" s="22"/>
      <c r="N93" s="22"/>
      <c r="O93" s="22"/>
      <c r="P93" s="22"/>
      <c r="Q93" s="22"/>
      <c r="R93" s="22"/>
      <c r="S93" s="22"/>
      <c r="T93" s="22"/>
      <c r="U93" s="22"/>
    </row>
    <row r="94" spans="1:21" x14ac:dyDescent="0.25">
      <c r="A94" s="22"/>
      <c r="B94" s="22"/>
      <c r="C94" s="265"/>
      <c r="D94" s="22"/>
      <c r="E94" s="22"/>
      <c r="F94" s="22"/>
      <c r="G94" s="22"/>
      <c r="H94" s="22"/>
      <c r="I94" s="22"/>
      <c r="J94" s="22"/>
      <c r="K94" s="22"/>
      <c r="L94" s="22"/>
      <c r="M94" s="22"/>
      <c r="N94" s="22"/>
      <c r="O94" s="22"/>
      <c r="P94" s="22"/>
      <c r="Q94" s="22"/>
      <c r="R94" s="22"/>
      <c r="S94" s="22"/>
      <c r="T94" s="22"/>
      <c r="U94" s="22"/>
    </row>
    <row r="95" spans="1:21" x14ac:dyDescent="0.25">
      <c r="A95" s="22"/>
      <c r="B95" s="22"/>
      <c r="C95" s="265"/>
      <c r="D95" s="22"/>
      <c r="E95" s="22"/>
      <c r="F95" s="22"/>
      <c r="G95" s="22"/>
      <c r="H95" s="22"/>
      <c r="I95" s="22"/>
      <c r="J95" s="22"/>
      <c r="K95" s="22"/>
      <c r="L95" s="22"/>
      <c r="M95" s="22"/>
      <c r="N95" s="22"/>
      <c r="O95" s="22"/>
      <c r="P95" s="22"/>
      <c r="Q95" s="22"/>
      <c r="R95" s="22"/>
      <c r="S95" s="22"/>
      <c r="T95" s="22"/>
      <c r="U95" s="22"/>
    </row>
    <row r="96" spans="1:21" x14ac:dyDescent="0.25">
      <c r="A96" s="22"/>
      <c r="B96" s="22"/>
      <c r="C96" s="265"/>
      <c r="D96" s="22"/>
      <c r="E96" s="22"/>
      <c r="F96" s="22"/>
      <c r="G96" s="22"/>
      <c r="H96" s="22"/>
      <c r="I96" s="22"/>
      <c r="J96" s="22"/>
      <c r="K96" s="22"/>
      <c r="L96" s="22"/>
      <c r="M96" s="22"/>
      <c r="N96" s="22"/>
      <c r="O96" s="22"/>
      <c r="P96" s="22"/>
      <c r="Q96" s="22"/>
      <c r="R96" s="22"/>
      <c r="S96" s="22"/>
      <c r="T96" s="22"/>
      <c r="U96" s="22"/>
    </row>
    <row r="97" spans="1:21" x14ac:dyDescent="0.25">
      <c r="A97" s="22"/>
      <c r="B97" s="22"/>
      <c r="C97" s="265"/>
      <c r="D97" s="22"/>
      <c r="E97" s="22"/>
      <c r="F97" s="22"/>
      <c r="G97" s="22"/>
      <c r="H97" s="22"/>
      <c r="I97" s="22"/>
      <c r="J97" s="22"/>
      <c r="K97" s="22"/>
      <c r="L97" s="22"/>
      <c r="M97" s="22"/>
      <c r="N97" s="22"/>
      <c r="O97" s="22"/>
      <c r="P97" s="22"/>
      <c r="Q97" s="22"/>
      <c r="R97" s="22"/>
      <c r="S97" s="22"/>
      <c r="T97" s="22"/>
      <c r="U97" s="22"/>
    </row>
    <row r="98" spans="1:21" x14ac:dyDescent="0.25">
      <c r="A98" s="22"/>
      <c r="B98" s="22"/>
      <c r="C98" s="265"/>
      <c r="D98" s="22"/>
      <c r="E98" s="22"/>
      <c r="F98" s="22"/>
      <c r="G98" s="22"/>
      <c r="H98" s="22"/>
      <c r="I98" s="22"/>
      <c r="J98" s="22"/>
      <c r="K98" s="22"/>
      <c r="L98" s="22"/>
      <c r="M98" s="22"/>
      <c r="N98" s="22"/>
      <c r="O98" s="22"/>
      <c r="P98" s="22"/>
      <c r="Q98" s="22"/>
      <c r="R98" s="22"/>
      <c r="S98" s="22"/>
      <c r="T98" s="22"/>
      <c r="U98" s="22"/>
    </row>
    <row r="99" spans="1:21" x14ac:dyDescent="0.25">
      <c r="A99" s="22"/>
      <c r="B99" s="22"/>
      <c r="C99" s="265"/>
      <c r="D99" s="22"/>
      <c r="E99" s="22"/>
      <c r="F99" s="22"/>
      <c r="G99" s="22"/>
      <c r="H99" s="22"/>
      <c r="I99" s="22"/>
      <c r="J99" s="22"/>
      <c r="K99" s="22"/>
      <c r="L99" s="22"/>
      <c r="M99" s="22"/>
      <c r="N99" s="22"/>
      <c r="O99" s="22"/>
      <c r="P99" s="22"/>
      <c r="Q99" s="22"/>
      <c r="R99" s="22"/>
      <c r="S99" s="22"/>
      <c r="T99" s="22"/>
      <c r="U99" s="22"/>
    </row>
    <row r="100" spans="1:21" x14ac:dyDescent="0.25">
      <c r="A100" s="22"/>
      <c r="B100" s="22"/>
      <c r="C100" s="26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M26" sqref="M26"/>
    </sheetView>
  </sheetViews>
  <sheetFormatPr defaultColWidth="9.140625" defaultRowHeight="15" x14ac:dyDescent="0.25"/>
  <cols>
    <col min="1" max="1" width="17.7109375" style="296" customWidth="1"/>
    <col min="2" max="2" width="30.140625" style="296" customWidth="1"/>
    <col min="3" max="3" width="12.28515625" style="296" customWidth="1"/>
    <col min="4" max="5" width="15" style="296" customWidth="1"/>
    <col min="6" max="7" width="13.28515625" style="296" customWidth="1"/>
    <col min="8" max="8" width="12.28515625" style="296" customWidth="1"/>
    <col min="9" max="9" width="17.85546875" style="296" customWidth="1"/>
    <col min="10" max="10" width="16.7109375" style="296" customWidth="1"/>
    <col min="11" max="11" width="24.5703125" style="296" customWidth="1"/>
    <col min="12" max="12" width="30.85546875" style="296" customWidth="1"/>
    <col min="13" max="13" width="27.140625" style="296" customWidth="1"/>
    <col min="14" max="14" width="32.42578125" style="296" customWidth="1"/>
    <col min="15" max="15" width="13.28515625" style="296" customWidth="1"/>
    <col min="16" max="16" width="8.7109375" style="296" customWidth="1"/>
    <col min="17" max="17" width="12.7109375" style="296" customWidth="1"/>
    <col min="18" max="18" width="9.140625" style="296"/>
    <col min="19" max="19" width="17" style="296" customWidth="1"/>
    <col min="20" max="21" width="12" style="296" customWidth="1"/>
    <col min="22" max="22" width="11" style="296" customWidth="1"/>
    <col min="23" max="25" width="17.7109375" style="296" customWidth="1"/>
    <col min="26" max="26" width="46.5703125" style="296" customWidth="1"/>
    <col min="27" max="28" width="12.28515625" style="296" customWidth="1"/>
    <col min="29" max="16384" width="9.140625" style="296"/>
  </cols>
  <sheetData>
    <row r="1" spans="1:28" ht="18.75" x14ac:dyDescent="0.25">
      <c r="Z1" s="33" t="s">
        <v>65</v>
      </c>
    </row>
    <row r="2" spans="1:28" ht="18.75" x14ac:dyDescent="0.3">
      <c r="Z2" s="14" t="s">
        <v>7</v>
      </c>
    </row>
    <row r="3" spans="1:28" ht="18.75" x14ac:dyDescent="0.3">
      <c r="Z3" s="14" t="s">
        <v>64</v>
      </c>
    </row>
    <row r="4" spans="1:28" ht="18.75" customHeight="1" x14ac:dyDescent="0.25">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row>
    <row r="6" spans="1:28" ht="18.75" x14ac:dyDescent="0.25">
      <c r="A6" s="514" t="s">
        <v>6</v>
      </c>
      <c r="B6" s="514"/>
      <c r="C6" s="514"/>
      <c r="D6" s="514"/>
      <c r="E6" s="514"/>
      <c r="F6" s="514"/>
      <c r="G6" s="514"/>
      <c r="H6" s="514"/>
      <c r="I6" s="514"/>
      <c r="J6" s="514"/>
      <c r="K6" s="514"/>
      <c r="L6" s="514"/>
      <c r="M6" s="514"/>
      <c r="N6" s="514"/>
      <c r="O6" s="514"/>
      <c r="P6" s="514"/>
      <c r="Q6" s="514"/>
      <c r="R6" s="514"/>
      <c r="S6" s="514"/>
      <c r="T6" s="514"/>
      <c r="U6" s="514"/>
      <c r="V6" s="514"/>
      <c r="W6" s="514"/>
      <c r="X6" s="514"/>
      <c r="Y6" s="514"/>
      <c r="Z6" s="514"/>
      <c r="AA6" s="297"/>
      <c r="AB6" s="297"/>
    </row>
    <row r="7" spans="1:28" ht="18.75" x14ac:dyDescent="0.25">
      <c r="A7" s="514"/>
      <c r="B7" s="514"/>
      <c r="C7" s="514"/>
      <c r="D7" s="514"/>
      <c r="E7" s="514"/>
      <c r="F7" s="514"/>
      <c r="G7" s="514"/>
      <c r="H7" s="514"/>
      <c r="I7" s="514"/>
      <c r="J7" s="514"/>
      <c r="K7" s="514"/>
      <c r="L7" s="514"/>
      <c r="M7" s="514"/>
      <c r="N7" s="514"/>
      <c r="O7" s="514"/>
      <c r="P7" s="514"/>
      <c r="Q7" s="514"/>
      <c r="R7" s="514"/>
      <c r="S7" s="514"/>
      <c r="T7" s="514"/>
      <c r="U7" s="514"/>
      <c r="V7" s="514"/>
      <c r="W7" s="514"/>
      <c r="X7" s="514"/>
      <c r="Y7" s="514"/>
      <c r="Z7" s="514"/>
      <c r="AA7" s="297"/>
      <c r="AB7" s="297"/>
    </row>
    <row r="8" spans="1:28" x14ac:dyDescent="0.25">
      <c r="A8" s="515" t="str">
        <f>'1. паспорт местоположение'!A9</f>
        <v>Акционерное общество "Россети Янтарь" ДЗО  ПАО "Россети"</v>
      </c>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298"/>
      <c r="AB8" s="298"/>
    </row>
    <row r="9" spans="1:28" ht="15.75" x14ac:dyDescent="0.25">
      <c r="A9" s="516" t="s">
        <v>5</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299"/>
      <c r="AB9" s="299"/>
    </row>
    <row r="10" spans="1:28" ht="18.75" x14ac:dyDescent="0.25">
      <c r="A10" s="514"/>
      <c r="B10" s="514"/>
      <c r="C10" s="514"/>
      <c r="D10" s="514"/>
      <c r="E10" s="514"/>
      <c r="F10" s="514"/>
      <c r="G10" s="514"/>
      <c r="H10" s="514"/>
      <c r="I10" s="514"/>
      <c r="J10" s="514"/>
      <c r="K10" s="514"/>
      <c r="L10" s="514"/>
      <c r="M10" s="514"/>
      <c r="N10" s="514"/>
      <c r="O10" s="514"/>
      <c r="P10" s="514"/>
      <c r="Q10" s="514"/>
      <c r="R10" s="514"/>
      <c r="S10" s="514"/>
      <c r="T10" s="514"/>
      <c r="U10" s="514"/>
      <c r="V10" s="514"/>
      <c r="W10" s="514"/>
      <c r="X10" s="514"/>
      <c r="Y10" s="514"/>
      <c r="Z10" s="514"/>
      <c r="AA10" s="297"/>
      <c r="AB10" s="297"/>
    </row>
    <row r="11" spans="1:28" x14ac:dyDescent="0.25">
      <c r="A11" s="515" t="str">
        <f>'1. паспорт местоположение'!A12:C12</f>
        <v>N_22-1289</v>
      </c>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298"/>
      <c r="AB11" s="298"/>
    </row>
    <row r="12" spans="1:28" ht="15.75" x14ac:dyDescent="0.25">
      <c r="A12" s="516" t="s">
        <v>4</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299"/>
      <c r="AB12" s="299"/>
    </row>
    <row r="13" spans="1:28" ht="18.75" x14ac:dyDescent="0.25">
      <c r="A13" s="517"/>
      <c r="B13" s="517"/>
      <c r="C13" s="517"/>
      <c r="D13" s="517"/>
      <c r="E13" s="517"/>
      <c r="F13" s="517"/>
      <c r="G13" s="517"/>
      <c r="H13" s="517"/>
      <c r="I13" s="517"/>
      <c r="J13" s="517"/>
      <c r="K13" s="517"/>
      <c r="L13" s="517"/>
      <c r="M13" s="517"/>
      <c r="N13" s="517"/>
      <c r="O13" s="517"/>
      <c r="P13" s="517"/>
      <c r="Q13" s="517"/>
      <c r="R13" s="517"/>
      <c r="S13" s="517"/>
      <c r="T13" s="517"/>
      <c r="U13" s="517"/>
      <c r="V13" s="517"/>
      <c r="W13" s="517"/>
      <c r="X13" s="517"/>
      <c r="Y13" s="517"/>
      <c r="Z13" s="517"/>
      <c r="AA13" s="300"/>
      <c r="AB13" s="300"/>
    </row>
    <row r="14" spans="1:28" x14ac:dyDescent="0.25">
      <c r="A14" s="515"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298"/>
      <c r="AB14" s="298"/>
    </row>
    <row r="15" spans="1:28" ht="15.75" x14ac:dyDescent="0.25">
      <c r="A15" s="516" t="s">
        <v>3</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299"/>
      <c r="AB15" s="299"/>
    </row>
    <row r="16" spans="1:28" x14ac:dyDescent="0.25">
      <c r="A16" s="518"/>
      <c r="B16" s="518"/>
      <c r="C16" s="518"/>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301"/>
      <c r="AB16" s="301"/>
    </row>
    <row r="17" spans="1:28" x14ac:dyDescent="0.25">
      <c r="A17" s="518"/>
      <c r="B17" s="518"/>
      <c r="C17" s="518"/>
      <c r="D17" s="518"/>
      <c r="E17" s="518"/>
      <c r="F17" s="518"/>
      <c r="G17" s="518"/>
      <c r="H17" s="518"/>
      <c r="I17" s="518"/>
      <c r="J17" s="518"/>
      <c r="K17" s="518"/>
      <c r="L17" s="518"/>
      <c r="M17" s="518"/>
      <c r="N17" s="518"/>
      <c r="O17" s="518"/>
      <c r="P17" s="518"/>
      <c r="Q17" s="518"/>
      <c r="R17" s="518"/>
      <c r="S17" s="518"/>
      <c r="T17" s="518"/>
      <c r="U17" s="518"/>
      <c r="V17" s="518"/>
      <c r="W17" s="518"/>
      <c r="X17" s="518"/>
      <c r="Y17" s="518"/>
      <c r="Z17" s="518"/>
      <c r="AA17" s="301"/>
      <c r="AB17" s="301"/>
    </row>
    <row r="18" spans="1:28" x14ac:dyDescent="0.25">
      <c r="A18" s="518"/>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301"/>
      <c r="AB18" s="301"/>
    </row>
    <row r="19" spans="1:28" x14ac:dyDescent="0.25">
      <c r="A19" s="518"/>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301"/>
      <c r="AB19" s="301"/>
    </row>
    <row r="20" spans="1:28" x14ac:dyDescent="0.2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302"/>
      <c r="AB20" s="302"/>
    </row>
    <row r="21" spans="1:28" x14ac:dyDescent="0.25">
      <c r="A21" s="519"/>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302"/>
      <c r="AB21" s="302"/>
    </row>
    <row r="22" spans="1:28" x14ac:dyDescent="0.25">
      <c r="A22" s="520" t="s">
        <v>448</v>
      </c>
      <c r="B22" s="520"/>
      <c r="C22" s="520"/>
      <c r="D22" s="520"/>
      <c r="E22" s="520"/>
      <c r="F22" s="520"/>
      <c r="G22" s="520"/>
      <c r="H22" s="520"/>
      <c r="I22" s="520"/>
      <c r="J22" s="520"/>
      <c r="K22" s="520"/>
      <c r="L22" s="520"/>
      <c r="M22" s="520"/>
      <c r="N22" s="520"/>
      <c r="O22" s="520"/>
      <c r="P22" s="520"/>
      <c r="Q22" s="520"/>
      <c r="R22" s="520"/>
      <c r="S22" s="520"/>
      <c r="T22" s="520"/>
      <c r="U22" s="520"/>
      <c r="V22" s="520"/>
      <c r="W22" s="520"/>
      <c r="X22" s="520"/>
      <c r="Y22" s="520"/>
      <c r="Z22" s="520"/>
      <c r="AA22" s="303"/>
      <c r="AB22" s="303"/>
    </row>
    <row r="23" spans="1:28" ht="32.25" customHeight="1" x14ac:dyDescent="0.25">
      <c r="A23" s="522" t="s">
        <v>302</v>
      </c>
      <c r="B23" s="523"/>
      <c r="C23" s="523"/>
      <c r="D23" s="523"/>
      <c r="E23" s="523"/>
      <c r="F23" s="523"/>
      <c r="G23" s="523"/>
      <c r="H23" s="523"/>
      <c r="I23" s="523"/>
      <c r="J23" s="523"/>
      <c r="K23" s="523"/>
      <c r="L23" s="524"/>
      <c r="M23" s="521" t="s">
        <v>303</v>
      </c>
      <c r="N23" s="521"/>
      <c r="O23" s="521"/>
      <c r="P23" s="521"/>
      <c r="Q23" s="521"/>
      <c r="R23" s="521"/>
      <c r="S23" s="521"/>
      <c r="T23" s="521"/>
      <c r="U23" s="521"/>
      <c r="V23" s="521"/>
      <c r="W23" s="521"/>
      <c r="X23" s="521"/>
      <c r="Y23" s="521"/>
      <c r="Z23" s="521"/>
    </row>
    <row r="24" spans="1:28" ht="151.5" customHeight="1" x14ac:dyDescent="0.25">
      <c r="A24" s="304" t="s">
        <v>227</v>
      </c>
      <c r="B24" s="305" t="s">
        <v>234</v>
      </c>
      <c r="C24" s="304" t="s">
        <v>299</v>
      </c>
      <c r="D24" s="304" t="s">
        <v>228</v>
      </c>
      <c r="E24" s="304" t="s">
        <v>300</v>
      </c>
      <c r="F24" s="304" t="s">
        <v>540</v>
      </c>
      <c r="G24" s="304" t="s">
        <v>541</v>
      </c>
      <c r="H24" s="304" t="s">
        <v>229</v>
      </c>
      <c r="I24" s="304" t="s">
        <v>542</v>
      </c>
      <c r="J24" s="304" t="s">
        <v>235</v>
      </c>
      <c r="K24" s="305" t="s">
        <v>233</v>
      </c>
      <c r="L24" s="305" t="s">
        <v>230</v>
      </c>
      <c r="M24" s="306" t="s">
        <v>237</v>
      </c>
      <c r="N24" s="305" t="s">
        <v>543</v>
      </c>
      <c r="O24" s="304" t="s">
        <v>544</v>
      </c>
      <c r="P24" s="304" t="s">
        <v>545</v>
      </c>
      <c r="Q24" s="304" t="s">
        <v>546</v>
      </c>
      <c r="R24" s="304" t="s">
        <v>229</v>
      </c>
      <c r="S24" s="304" t="s">
        <v>547</v>
      </c>
      <c r="T24" s="304" t="s">
        <v>548</v>
      </c>
      <c r="U24" s="304" t="s">
        <v>549</v>
      </c>
      <c r="V24" s="304" t="s">
        <v>546</v>
      </c>
      <c r="W24" s="307" t="s">
        <v>550</v>
      </c>
      <c r="X24" s="307" t="s">
        <v>551</v>
      </c>
      <c r="Y24" s="307" t="s">
        <v>552</v>
      </c>
      <c r="Z24" s="308" t="s">
        <v>238</v>
      </c>
    </row>
    <row r="25" spans="1:28" ht="16.5" customHeight="1" x14ac:dyDescent="0.25">
      <c r="A25" s="304">
        <v>1</v>
      </c>
      <c r="B25" s="305">
        <v>2</v>
      </c>
      <c r="C25" s="304">
        <v>3</v>
      </c>
      <c r="D25" s="305">
        <v>4</v>
      </c>
      <c r="E25" s="304">
        <v>5</v>
      </c>
      <c r="F25" s="305">
        <v>6</v>
      </c>
      <c r="G25" s="304">
        <v>7</v>
      </c>
      <c r="H25" s="305">
        <v>8</v>
      </c>
      <c r="I25" s="304">
        <v>9</v>
      </c>
      <c r="J25" s="305">
        <v>10</v>
      </c>
      <c r="K25" s="304">
        <v>11</v>
      </c>
      <c r="L25" s="305">
        <v>12</v>
      </c>
      <c r="M25" s="304">
        <v>13</v>
      </c>
      <c r="N25" s="305">
        <v>14</v>
      </c>
      <c r="O25" s="304">
        <v>15</v>
      </c>
      <c r="P25" s="305">
        <v>16</v>
      </c>
      <c r="Q25" s="304">
        <v>17</v>
      </c>
      <c r="R25" s="305">
        <v>18</v>
      </c>
      <c r="S25" s="304">
        <v>19</v>
      </c>
      <c r="T25" s="305">
        <v>20</v>
      </c>
      <c r="U25" s="304">
        <v>21</v>
      </c>
      <c r="V25" s="305">
        <v>22</v>
      </c>
      <c r="W25" s="304">
        <v>23</v>
      </c>
      <c r="X25" s="305">
        <v>24</v>
      </c>
      <c r="Y25" s="304">
        <v>25</v>
      </c>
      <c r="Z25" s="305">
        <v>26</v>
      </c>
    </row>
    <row r="26" spans="1:28" ht="127.5" x14ac:dyDescent="0.25">
      <c r="A26" s="309" t="s">
        <v>297</v>
      </c>
      <c r="B26" s="310"/>
      <c r="C26" s="311" t="s">
        <v>553</v>
      </c>
      <c r="D26" s="311" t="s">
        <v>554</v>
      </c>
      <c r="E26" s="311" t="s">
        <v>555</v>
      </c>
      <c r="F26" s="311" t="s">
        <v>556</v>
      </c>
      <c r="G26" s="311" t="s">
        <v>557</v>
      </c>
      <c r="H26" s="311" t="s">
        <v>229</v>
      </c>
      <c r="I26" s="311" t="s">
        <v>558</v>
      </c>
      <c r="J26" s="311" t="s">
        <v>559</v>
      </c>
      <c r="K26" s="312"/>
      <c r="L26" s="313" t="s">
        <v>231</v>
      </c>
      <c r="M26" s="314">
        <v>2025</v>
      </c>
      <c r="N26" s="312"/>
      <c r="O26" s="312">
        <v>0</v>
      </c>
      <c r="P26" s="312">
        <v>0</v>
      </c>
      <c r="Q26" s="312">
        <v>0</v>
      </c>
      <c r="R26" s="312">
        <v>99264</v>
      </c>
      <c r="S26" s="312">
        <v>0</v>
      </c>
      <c r="T26" s="312">
        <v>0</v>
      </c>
      <c r="U26" s="312">
        <v>0</v>
      </c>
      <c r="V26" s="312">
        <v>0</v>
      </c>
      <c r="W26" s="312">
        <v>0</v>
      </c>
      <c r="X26" s="312">
        <v>0</v>
      </c>
      <c r="Y26" s="315" t="s">
        <v>507</v>
      </c>
      <c r="Z26" s="316" t="s">
        <v>508</v>
      </c>
    </row>
    <row r="27" spans="1:28" x14ac:dyDescent="0.25">
      <c r="A27" s="312">
        <v>2017</v>
      </c>
      <c r="B27" s="312" t="s">
        <v>519</v>
      </c>
      <c r="C27" s="312">
        <v>0</v>
      </c>
      <c r="D27" s="312">
        <v>0</v>
      </c>
      <c r="E27" s="312">
        <v>0</v>
      </c>
      <c r="F27" s="311">
        <v>0</v>
      </c>
      <c r="G27" s="311">
        <v>0</v>
      </c>
      <c r="H27" s="312">
        <v>99264</v>
      </c>
      <c r="I27" s="312">
        <v>0</v>
      </c>
      <c r="J27" s="312">
        <v>0</v>
      </c>
      <c r="K27" s="313"/>
      <c r="L27" s="312"/>
      <c r="M27" s="313"/>
      <c r="N27" s="312"/>
      <c r="O27" s="312"/>
      <c r="P27" s="312"/>
      <c r="Q27" s="312"/>
      <c r="R27" s="312"/>
      <c r="S27" s="312"/>
      <c r="T27" s="312"/>
      <c r="U27" s="312"/>
      <c r="V27" s="312"/>
      <c r="W27" s="312"/>
      <c r="X27" s="312"/>
      <c r="Y27" s="312"/>
      <c r="Z27" s="312"/>
    </row>
    <row r="28" spans="1:28" ht="30" x14ac:dyDescent="0.25">
      <c r="A28" s="310" t="s">
        <v>298</v>
      </c>
      <c r="B28" s="310"/>
      <c r="C28" s="311" t="s">
        <v>560</v>
      </c>
      <c r="D28" s="311" t="s">
        <v>561</v>
      </c>
      <c r="E28" s="311" t="s">
        <v>562</v>
      </c>
      <c r="F28" s="311" t="s">
        <v>563</v>
      </c>
      <c r="G28" s="311" t="s">
        <v>564</v>
      </c>
      <c r="H28" s="311" t="s">
        <v>229</v>
      </c>
      <c r="I28" s="311" t="s">
        <v>565</v>
      </c>
      <c r="J28" s="311" t="s">
        <v>566</v>
      </c>
      <c r="K28" s="312"/>
      <c r="L28" s="312"/>
      <c r="M28" s="312"/>
      <c r="N28" s="312"/>
      <c r="O28" s="312"/>
      <c r="P28" s="312"/>
      <c r="Q28" s="312"/>
      <c r="R28" s="312"/>
      <c r="S28" s="312"/>
      <c r="T28" s="312"/>
      <c r="U28" s="312"/>
      <c r="V28" s="312"/>
      <c r="W28" s="312"/>
      <c r="X28" s="312"/>
      <c r="Y28" s="312"/>
      <c r="Z28" s="312"/>
    </row>
    <row r="29" spans="1:28" x14ac:dyDescent="0.25">
      <c r="A29" s="312">
        <v>2016</v>
      </c>
      <c r="B29" s="312" t="s">
        <v>519</v>
      </c>
      <c r="C29" s="312">
        <v>0</v>
      </c>
      <c r="D29" s="312">
        <v>0</v>
      </c>
      <c r="E29" s="312">
        <v>0</v>
      </c>
      <c r="F29" s="312">
        <v>0</v>
      </c>
      <c r="G29" s="312">
        <v>0</v>
      </c>
      <c r="H29" s="312">
        <v>85140</v>
      </c>
      <c r="I29" s="312">
        <v>0</v>
      </c>
      <c r="J29" s="312">
        <v>0</v>
      </c>
      <c r="K29" s="312"/>
      <c r="L29" s="312"/>
      <c r="M29" s="312"/>
      <c r="N29" s="312"/>
      <c r="O29" s="312"/>
      <c r="P29" s="312"/>
      <c r="Q29" s="312"/>
      <c r="R29" s="312"/>
      <c r="S29" s="312"/>
      <c r="T29" s="312"/>
      <c r="U29" s="312"/>
      <c r="V29" s="312"/>
      <c r="W29" s="312"/>
      <c r="X29" s="312"/>
      <c r="Y29" s="312"/>
      <c r="Z29" s="312"/>
    </row>
    <row r="33" spans="1:1" x14ac:dyDescent="0.25">
      <c r="A33" s="3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104"/>
      <c r="Q5" s="104"/>
      <c r="R5" s="104"/>
      <c r="S5" s="104"/>
      <c r="T5" s="104"/>
      <c r="U5" s="104"/>
      <c r="V5" s="104"/>
      <c r="W5" s="104"/>
      <c r="X5" s="104"/>
      <c r="Y5" s="104"/>
      <c r="Z5" s="104"/>
      <c r="AA5" s="104"/>
      <c r="AB5" s="104"/>
    </row>
    <row r="6" spans="1:28" s="11" customFormat="1" ht="18.75" x14ac:dyDescent="0.3">
      <c r="A6" s="16"/>
      <c r="B6" s="16"/>
      <c r="L6" s="14"/>
    </row>
    <row r="7" spans="1:28" s="11" customFormat="1" ht="18.75" x14ac:dyDescent="0.2">
      <c r="A7" s="473" t="s">
        <v>6</v>
      </c>
      <c r="B7" s="473"/>
      <c r="C7" s="473"/>
      <c r="D7" s="473"/>
      <c r="E7" s="473"/>
      <c r="F7" s="473"/>
      <c r="G7" s="473"/>
      <c r="H7" s="473"/>
      <c r="I7" s="473"/>
      <c r="J7" s="473"/>
      <c r="K7" s="473"/>
      <c r="L7" s="473"/>
      <c r="M7" s="473"/>
      <c r="N7" s="473"/>
      <c r="O7" s="473"/>
      <c r="P7" s="12"/>
      <c r="Q7" s="12"/>
      <c r="R7" s="12"/>
      <c r="S7" s="12"/>
      <c r="T7" s="12"/>
      <c r="U7" s="12"/>
      <c r="V7" s="12"/>
      <c r="W7" s="12"/>
      <c r="X7" s="12"/>
      <c r="Y7" s="12"/>
      <c r="Z7" s="12"/>
    </row>
    <row r="8" spans="1:28" s="11" customFormat="1" ht="18.75" x14ac:dyDescent="0.2">
      <c r="A8" s="473"/>
      <c r="B8" s="473"/>
      <c r="C8" s="473"/>
      <c r="D8" s="473"/>
      <c r="E8" s="473"/>
      <c r="F8" s="473"/>
      <c r="G8" s="473"/>
      <c r="H8" s="473"/>
      <c r="I8" s="473"/>
      <c r="J8" s="473"/>
      <c r="K8" s="473"/>
      <c r="L8" s="473"/>
      <c r="M8" s="473"/>
      <c r="N8" s="473"/>
      <c r="O8" s="473"/>
      <c r="P8" s="12"/>
      <c r="Q8" s="12"/>
      <c r="R8" s="12"/>
      <c r="S8" s="12"/>
      <c r="T8" s="12"/>
      <c r="U8" s="12"/>
      <c r="V8" s="12"/>
      <c r="W8" s="12"/>
      <c r="X8" s="12"/>
      <c r="Y8" s="12"/>
      <c r="Z8" s="12"/>
    </row>
    <row r="9" spans="1:28" s="11" customFormat="1" ht="18.75" x14ac:dyDescent="0.2">
      <c r="A9" s="467" t="str">
        <f>'1. паспорт местоположение'!A9:C9</f>
        <v>Акционерное общество "Россети Янтарь" ДЗО  ПАО "Россети"</v>
      </c>
      <c r="B9" s="467"/>
      <c r="C9" s="467"/>
      <c r="D9" s="467"/>
      <c r="E9" s="467"/>
      <c r="F9" s="467"/>
      <c r="G9" s="467"/>
      <c r="H9" s="467"/>
      <c r="I9" s="467"/>
      <c r="J9" s="467"/>
      <c r="K9" s="467"/>
      <c r="L9" s="467"/>
      <c r="M9" s="467"/>
      <c r="N9" s="467"/>
      <c r="O9" s="467"/>
      <c r="P9" s="12"/>
      <c r="Q9" s="12"/>
      <c r="R9" s="12"/>
      <c r="S9" s="12"/>
      <c r="T9" s="12"/>
      <c r="U9" s="12"/>
      <c r="V9" s="12"/>
      <c r="W9" s="12"/>
      <c r="X9" s="12"/>
      <c r="Y9" s="12"/>
      <c r="Z9" s="12"/>
    </row>
    <row r="10" spans="1:28" s="11" customFormat="1" ht="18.75" x14ac:dyDescent="0.2">
      <c r="A10" s="472" t="s">
        <v>5</v>
      </c>
      <c r="B10" s="472"/>
      <c r="C10" s="472"/>
      <c r="D10" s="472"/>
      <c r="E10" s="472"/>
      <c r="F10" s="472"/>
      <c r="G10" s="472"/>
      <c r="H10" s="472"/>
      <c r="I10" s="472"/>
      <c r="J10" s="472"/>
      <c r="K10" s="472"/>
      <c r="L10" s="472"/>
      <c r="M10" s="472"/>
      <c r="N10" s="472"/>
      <c r="O10" s="472"/>
      <c r="P10" s="12"/>
      <c r="Q10" s="12"/>
      <c r="R10" s="12"/>
      <c r="S10" s="12"/>
      <c r="T10" s="12"/>
      <c r="U10" s="12"/>
      <c r="V10" s="12"/>
      <c r="W10" s="12"/>
      <c r="X10" s="12"/>
      <c r="Y10" s="12"/>
      <c r="Z10" s="12"/>
    </row>
    <row r="11" spans="1:28" s="11" customFormat="1" ht="18.75" x14ac:dyDescent="0.2">
      <c r="A11" s="473"/>
      <c r="B11" s="473"/>
      <c r="C11" s="473"/>
      <c r="D11" s="473"/>
      <c r="E11" s="473"/>
      <c r="F11" s="473"/>
      <c r="G11" s="473"/>
      <c r="H11" s="473"/>
      <c r="I11" s="473"/>
      <c r="J11" s="473"/>
      <c r="K11" s="473"/>
      <c r="L11" s="473"/>
      <c r="M11" s="473"/>
      <c r="N11" s="473"/>
      <c r="O11" s="473"/>
      <c r="P11" s="12"/>
      <c r="Q11" s="12"/>
      <c r="R11" s="12"/>
      <c r="S11" s="12"/>
      <c r="T11" s="12"/>
      <c r="U11" s="12"/>
      <c r="V11" s="12"/>
      <c r="W11" s="12"/>
      <c r="X11" s="12"/>
      <c r="Y11" s="12"/>
      <c r="Z11" s="12"/>
    </row>
    <row r="12" spans="1:28" s="11" customFormat="1" ht="18.75" x14ac:dyDescent="0.2">
      <c r="A12" s="467" t="str">
        <f>'1. паспорт местоположение'!A12:C12</f>
        <v>N_22-1289</v>
      </c>
      <c r="B12" s="467"/>
      <c r="C12" s="467"/>
      <c r="D12" s="467"/>
      <c r="E12" s="467"/>
      <c r="F12" s="467"/>
      <c r="G12" s="467"/>
      <c r="H12" s="467"/>
      <c r="I12" s="467"/>
      <c r="J12" s="467"/>
      <c r="K12" s="467"/>
      <c r="L12" s="467"/>
      <c r="M12" s="467"/>
      <c r="N12" s="467"/>
      <c r="O12" s="467"/>
      <c r="P12" s="12"/>
      <c r="Q12" s="12"/>
      <c r="R12" s="12"/>
      <c r="S12" s="12"/>
      <c r="T12" s="12"/>
      <c r="U12" s="12"/>
      <c r="V12" s="12"/>
      <c r="W12" s="12"/>
      <c r="X12" s="12"/>
      <c r="Y12" s="12"/>
      <c r="Z12" s="12"/>
    </row>
    <row r="13" spans="1:28" s="11" customFormat="1" ht="18.75" x14ac:dyDescent="0.2">
      <c r="A13" s="472" t="s">
        <v>4</v>
      </c>
      <c r="B13" s="472"/>
      <c r="C13" s="472"/>
      <c r="D13" s="472"/>
      <c r="E13" s="472"/>
      <c r="F13" s="472"/>
      <c r="G13" s="472"/>
      <c r="H13" s="472"/>
      <c r="I13" s="472"/>
      <c r="J13" s="472"/>
      <c r="K13" s="472"/>
      <c r="L13" s="472"/>
      <c r="M13" s="472"/>
      <c r="N13" s="472"/>
      <c r="O13" s="472"/>
      <c r="P13" s="12"/>
      <c r="Q13" s="12"/>
      <c r="R13" s="12"/>
      <c r="S13" s="12"/>
      <c r="T13" s="12"/>
      <c r="U13" s="12"/>
      <c r="V13" s="12"/>
      <c r="W13" s="12"/>
      <c r="X13" s="12"/>
      <c r="Y13" s="12"/>
      <c r="Z13" s="12"/>
    </row>
    <row r="14" spans="1:28" s="8" customFormat="1" ht="15.75" customHeight="1" x14ac:dyDescent="0.2">
      <c r="A14" s="474"/>
      <c r="B14" s="474"/>
      <c r="C14" s="474"/>
      <c r="D14" s="474"/>
      <c r="E14" s="474"/>
      <c r="F14" s="474"/>
      <c r="G14" s="474"/>
      <c r="H14" s="474"/>
      <c r="I14" s="474"/>
      <c r="J14" s="474"/>
      <c r="K14" s="474"/>
      <c r="L14" s="474"/>
      <c r="M14" s="474"/>
      <c r="N14" s="474"/>
      <c r="O14" s="474"/>
      <c r="P14" s="9"/>
      <c r="Q14" s="9"/>
      <c r="R14" s="9"/>
      <c r="S14" s="9"/>
      <c r="T14" s="9"/>
      <c r="U14" s="9"/>
      <c r="V14" s="9"/>
      <c r="W14" s="9"/>
      <c r="X14" s="9"/>
      <c r="Y14" s="9"/>
      <c r="Z14" s="9"/>
    </row>
    <row r="15" spans="1:28" s="3" customFormat="1" ht="12" x14ac:dyDescent="0.2">
      <c r="A15" s="467" t="str">
        <f>'1. паспорт местоположение'!A15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467"/>
      <c r="C15" s="467"/>
      <c r="D15" s="467"/>
      <c r="E15" s="467"/>
      <c r="F15" s="467"/>
      <c r="G15" s="467"/>
      <c r="H15" s="467"/>
      <c r="I15" s="467"/>
      <c r="J15" s="467"/>
      <c r="K15" s="467"/>
      <c r="L15" s="467"/>
      <c r="M15" s="467"/>
      <c r="N15" s="467"/>
      <c r="O15" s="467"/>
      <c r="P15" s="7"/>
      <c r="Q15" s="7"/>
      <c r="R15" s="7"/>
      <c r="S15" s="7"/>
      <c r="T15" s="7"/>
      <c r="U15" s="7"/>
      <c r="V15" s="7"/>
      <c r="W15" s="7"/>
      <c r="X15" s="7"/>
      <c r="Y15" s="7"/>
      <c r="Z15" s="7"/>
    </row>
    <row r="16" spans="1:28" s="3" customFormat="1" ht="15" customHeight="1" x14ac:dyDescent="0.2">
      <c r="A16" s="472" t="s">
        <v>3</v>
      </c>
      <c r="B16" s="472"/>
      <c r="C16" s="472"/>
      <c r="D16" s="472"/>
      <c r="E16" s="472"/>
      <c r="F16" s="472"/>
      <c r="G16" s="472"/>
      <c r="H16" s="472"/>
      <c r="I16" s="472"/>
      <c r="J16" s="472"/>
      <c r="K16" s="472"/>
      <c r="L16" s="472"/>
      <c r="M16" s="472"/>
      <c r="N16" s="472"/>
      <c r="O16" s="472"/>
      <c r="P16" s="5"/>
      <c r="Q16" s="5"/>
      <c r="R16" s="5"/>
      <c r="S16" s="5"/>
      <c r="T16" s="5"/>
      <c r="U16" s="5"/>
      <c r="V16" s="5"/>
      <c r="W16" s="5"/>
      <c r="X16" s="5"/>
      <c r="Y16" s="5"/>
      <c r="Z16" s="5"/>
    </row>
    <row r="17" spans="1:26" s="3" customFormat="1" ht="15" customHeight="1" x14ac:dyDescent="0.2">
      <c r="A17" s="469"/>
      <c r="B17" s="469"/>
      <c r="C17" s="469"/>
      <c r="D17" s="469"/>
      <c r="E17" s="469"/>
      <c r="F17" s="469"/>
      <c r="G17" s="469"/>
      <c r="H17" s="469"/>
      <c r="I17" s="469"/>
      <c r="J17" s="469"/>
      <c r="K17" s="469"/>
      <c r="L17" s="469"/>
      <c r="M17" s="469"/>
      <c r="N17" s="469"/>
      <c r="O17" s="469"/>
      <c r="P17" s="4"/>
      <c r="Q17" s="4"/>
      <c r="R17" s="4"/>
      <c r="S17" s="4"/>
      <c r="T17" s="4"/>
      <c r="U17" s="4"/>
      <c r="V17" s="4"/>
      <c r="W17" s="4"/>
    </row>
    <row r="18" spans="1:26" s="3" customFormat="1" ht="91.5" customHeight="1" x14ac:dyDescent="0.2">
      <c r="A18" s="529" t="s">
        <v>425</v>
      </c>
      <c r="B18" s="529"/>
      <c r="C18" s="529"/>
      <c r="D18" s="529"/>
      <c r="E18" s="529"/>
      <c r="F18" s="529"/>
      <c r="G18" s="529"/>
      <c r="H18" s="529"/>
      <c r="I18" s="529"/>
      <c r="J18" s="529"/>
      <c r="K18" s="529"/>
      <c r="L18" s="529"/>
      <c r="M18" s="529"/>
      <c r="N18" s="529"/>
      <c r="O18" s="529"/>
      <c r="P18" s="6"/>
      <c r="Q18" s="6"/>
      <c r="R18" s="6"/>
      <c r="S18" s="6"/>
      <c r="T18" s="6"/>
      <c r="U18" s="6"/>
      <c r="V18" s="6"/>
      <c r="W18" s="6"/>
      <c r="X18" s="6"/>
      <c r="Y18" s="6"/>
      <c r="Z18" s="6"/>
    </row>
    <row r="19" spans="1:26" s="3" customFormat="1" ht="78" customHeight="1" x14ac:dyDescent="0.2">
      <c r="A19" s="525" t="s">
        <v>2</v>
      </c>
      <c r="B19" s="525" t="s">
        <v>81</v>
      </c>
      <c r="C19" s="525" t="s">
        <v>80</v>
      </c>
      <c r="D19" s="525" t="s">
        <v>72</v>
      </c>
      <c r="E19" s="526" t="s">
        <v>79</v>
      </c>
      <c r="F19" s="527"/>
      <c r="G19" s="527"/>
      <c r="H19" s="527"/>
      <c r="I19" s="528"/>
      <c r="J19" s="525" t="s">
        <v>78</v>
      </c>
      <c r="K19" s="525"/>
      <c r="L19" s="525"/>
      <c r="M19" s="525"/>
      <c r="N19" s="525"/>
      <c r="O19" s="525"/>
      <c r="P19" s="4"/>
      <c r="Q19" s="4"/>
      <c r="R19" s="4"/>
      <c r="S19" s="4"/>
      <c r="T19" s="4"/>
      <c r="U19" s="4"/>
      <c r="V19" s="4"/>
      <c r="W19" s="4"/>
    </row>
    <row r="20" spans="1:26" s="3" customFormat="1" ht="51" customHeight="1" x14ac:dyDescent="0.2">
      <c r="A20" s="525"/>
      <c r="B20" s="525"/>
      <c r="C20" s="525"/>
      <c r="D20" s="525"/>
      <c r="E20" s="318" t="s">
        <v>77</v>
      </c>
      <c r="F20" s="318" t="s">
        <v>76</v>
      </c>
      <c r="G20" s="318" t="s">
        <v>75</v>
      </c>
      <c r="H20" s="318" t="s">
        <v>74</v>
      </c>
      <c r="I20" s="318" t="s">
        <v>73</v>
      </c>
      <c r="J20" s="318">
        <v>2023</v>
      </c>
      <c r="K20" s="318">
        <v>2024</v>
      </c>
      <c r="L20" s="318">
        <v>2025</v>
      </c>
      <c r="M20" s="318">
        <v>2026</v>
      </c>
      <c r="N20" s="318">
        <v>2027</v>
      </c>
      <c r="O20" s="318">
        <v>2028</v>
      </c>
      <c r="P20" s="27"/>
      <c r="Q20" s="27"/>
      <c r="R20" s="27"/>
      <c r="S20" s="27"/>
      <c r="T20" s="27"/>
      <c r="U20" s="27"/>
      <c r="V20" s="27"/>
      <c r="W20" s="27"/>
      <c r="X20" s="26"/>
      <c r="Y20" s="26"/>
      <c r="Z20" s="26"/>
    </row>
    <row r="21" spans="1:26" s="3" customFormat="1" ht="16.5" customHeight="1" x14ac:dyDescent="0.2">
      <c r="A21" s="319">
        <v>1</v>
      </c>
      <c r="B21" s="320">
        <v>2</v>
      </c>
      <c r="C21" s="319">
        <v>3</v>
      </c>
      <c r="D21" s="320">
        <v>4</v>
      </c>
      <c r="E21" s="319">
        <v>5</v>
      </c>
      <c r="F21" s="320">
        <v>6</v>
      </c>
      <c r="G21" s="319">
        <v>7</v>
      </c>
      <c r="H21" s="320">
        <v>8</v>
      </c>
      <c r="I21" s="319">
        <v>9</v>
      </c>
      <c r="J21" s="320">
        <v>10</v>
      </c>
      <c r="K21" s="319">
        <v>11</v>
      </c>
      <c r="L21" s="320">
        <v>12</v>
      </c>
      <c r="M21" s="319">
        <v>13</v>
      </c>
      <c r="N21" s="320">
        <v>14</v>
      </c>
      <c r="O21" s="319">
        <v>15</v>
      </c>
      <c r="P21" s="27"/>
      <c r="Q21" s="27"/>
      <c r="R21" s="27"/>
      <c r="S21" s="27"/>
      <c r="T21" s="27"/>
      <c r="U21" s="27"/>
      <c r="V21" s="27"/>
      <c r="W21" s="27"/>
      <c r="X21" s="26"/>
      <c r="Y21" s="26"/>
      <c r="Z21" s="26"/>
    </row>
    <row r="22" spans="1:26" s="3" customFormat="1" ht="33" customHeight="1" x14ac:dyDescent="0.2">
      <c r="A22" s="321" t="s">
        <v>61</v>
      </c>
      <c r="B22" s="395">
        <v>2025</v>
      </c>
      <c r="C22" s="322">
        <v>0</v>
      </c>
      <c r="D22" s="322">
        <v>0</v>
      </c>
      <c r="E22" s="322">
        <v>0</v>
      </c>
      <c r="F22" s="322">
        <v>0</v>
      </c>
      <c r="G22" s="322">
        <v>0</v>
      </c>
      <c r="H22" s="322">
        <v>0</v>
      </c>
      <c r="I22" s="322">
        <v>0</v>
      </c>
      <c r="J22" s="295">
        <v>0</v>
      </c>
      <c r="K22" s="295">
        <v>0</v>
      </c>
      <c r="L22" s="323">
        <v>0</v>
      </c>
      <c r="M22" s="323">
        <v>0</v>
      </c>
      <c r="N22" s="323">
        <v>0</v>
      </c>
      <c r="O22" s="32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BM86" sqref="BM86"/>
    </sheetView>
  </sheetViews>
  <sheetFormatPr defaultColWidth="9.140625" defaultRowHeight="15.75" x14ac:dyDescent="0.2"/>
  <cols>
    <col min="1" max="1" width="61.7109375" style="121" customWidth="1"/>
    <col min="2" max="2" width="18.5703125" style="106" customWidth="1"/>
    <col min="3" max="12" width="16.85546875" style="106" customWidth="1"/>
    <col min="13" max="42" width="16.85546875" style="106" hidden="1" customWidth="1"/>
    <col min="43" max="45" width="16.85546875" style="107" hidden="1" customWidth="1"/>
    <col min="46" max="51" width="16.85546875" style="108" hidden="1" customWidth="1"/>
    <col min="52" max="57" width="9.140625" style="108" hidden="1" customWidth="1"/>
    <col min="58" max="59" width="0" style="108" hidden="1" customWidth="1"/>
    <col min="60" max="256" width="9.140625" style="108"/>
    <col min="257" max="257" width="61.7109375" style="108" customWidth="1"/>
    <col min="258" max="258" width="18.5703125" style="108" customWidth="1"/>
    <col min="259" max="298" width="16.85546875" style="108" customWidth="1"/>
    <col min="299" max="300" width="18.5703125" style="108" customWidth="1"/>
    <col min="301" max="301" width="21.7109375" style="108" customWidth="1"/>
    <col min="302" max="512" width="9.140625" style="108"/>
    <col min="513" max="513" width="61.7109375" style="108" customWidth="1"/>
    <col min="514" max="514" width="18.5703125" style="108" customWidth="1"/>
    <col min="515" max="554" width="16.85546875" style="108" customWidth="1"/>
    <col min="555" max="556" width="18.5703125" style="108" customWidth="1"/>
    <col min="557" max="557" width="21.7109375" style="108" customWidth="1"/>
    <col min="558" max="768" width="9.140625" style="108"/>
    <col min="769" max="769" width="61.7109375" style="108" customWidth="1"/>
    <col min="770" max="770" width="18.5703125" style="108" customWidth="1"/>
    <col min="771" max="810" width="16.85546875" style="108" customWidth="1"/>
    <col min="811" max="812" width="18.5703125" style="108" customWidth="1"/>
    <col min="813" max="813" width="21.7109375" style="108" customWidth="1"/>
    <col min="814" max="1024" width="9.140625" style="108"/>
    <col min="1025" max="1025" width="61.7109375" style="108" customWidth="1"/>
    <col min="1026" max="1026" width="18.5703125" style="108" customWidth="1"/>
    <col min="1027" max="1066" width="16.85546875" style="108" customWidth="1"/>
    <col min="1067" max="1068" width="18.5703125" style="108" customWidth="1"/>
    <col min="1069" max="1069" width="21.7109375" style="108" customWidth="1"/>
    <col min="1070" max="1280" width="9.140625" style="108"/>
    <col min="1281" max="1281" width="61.7109375" style="108" customWidth="1"/>
    <col min="1282" max="1282" width="18.5703125" style="108" customWidth="1"/>
    <col min="1283" max="1322" width="16.85546875" style="108" customWidth="1"/>
    <col min="1323" max="1324" width="18.5703125" style="108" customWidth="1"/>
    <col min="1325" max="1325" width="21.7109375" style="108" customWidth="1"/>
    <col min="1326" max="1536" width="9.140625" style="108"/>
    <col min="1537" max="1537" width="61.7109375" style="108" customWidth="1"/>
    <col min="1538" max="1538" width="18.5703125" style="108" customWidth="1"/>
    <col min="1539" max="1578" width="16.85546875" style="108" customWidth="1"/>
    <col min="1579" max="1580" width="18.5703125" style="108" customWidth="1"/>
    <col min="1581" max="1581" width="21.7109375" style="108" customWidth="1"/>
    <col min="1582" max="1792" width="9.140625" style="108"/>
    <col min="1793" max="1793" width="61.7109375" style="108" customWidth="1"/>
    <col min="1794" max="1794" width="18.5703125" style="108" customWidth="1"/>
    <col min="1795" max="1834" width="16.85546875" style="108" customWidth="1"/>
    <col min="1835" max="1836" width="18.5703125" style="108" customWidth="1"/>
    <col min="1837" max="1837" width="21.7109375" style="108" customWidth="1"/>
    <col min="1838" max="2048" width="9.140625" style="108"/>
    <col min="2049" max="2049" width="61.7109375" style="108" customWidth="1"/>
    <col min="2050" max="2050" width="18.5703125" style="108" customWidth="1"/>
    <col min="2051" max="2090" width="16.85546875" style="108" customWidth="1"/>
    <col min="2091" max="2092" width="18.5703125" style="108" customWidth="1"/>
    <col min="2093" max="2093" width="21.7109375" style="108" customWidth="1"/>
    <col min="2094" max="2304" width="9.140625" style="108"/>
    <col min="2305" max="2305" width="61.7109375" style="108" customWidth="1"/>
    <col min="2306" max="2306" width="18.5703125" style="108" customWidth="1"/>
    <col min="2307" max="2346" width="16.85546875" style="108" customWidth="1"/>
    <col min="2347" max="2348" width="18.5703125" style="108" customWidth="1"/>
    <col min="2349" max="2349" width="21.7109375" style="108" customWidth="1"/>
    <col min="2350" max="2560" width="9.140625" style="108"/>
    <col min="2561" max="2561" width="61.7109375" style="108" customWidth="1"/>
    <col min="2562" max="2562" width="18.5703125" style="108" customWidth="1"/>
    <col min="2563" max="2602" width="16.85546875" style="108" customWidth="1"/>
    <col min="2603" max="2604" width="18.5703125" style="108" customWidth="1"/>
    <col min="2605" max="2605" width="21.7109375" style="108" customWidth="1"/>
    <col min="2606" max="2816" width="9.140625" style="108"/>
    <col min="2817" max="2817" width="61.7109375" style="108" customWidth="1"/>
    <col min="2818" max="2818" width="18.5703125" style="108" customWidth="1"/>
    <col min="2819" max="2858" width="16.85546875" style="108" customWidth="1"/>
    <col min="2859" max="2860" width="18.5703125" style="108" customWidth="1"/>
    <col min="2861" max="2861" width="21.7109375" style="108" customWidth="1"/>
    <col min="2862" max="3072" width="9.140625" style="108"/>
    <col min="3073" max="3073" width="61.7109375" style="108" customWidth="1"/>
    <col min="3074" max="3074" width="18.5703125" style="108" customWidth="1"/>
    <col min="3075" max="3114" width="16.85546875" style="108" customWidth="1"/>
    <col min="3115" max="3116" width="18.5703125" style="108" customWidth="1"/>
    <col min="3117" max="3117" width="21.7109375" style="108" customWidth="1"/>
    <col min="3118" max="3328" width="9.140625" style="108"/>
    <col min="3329" max="3329" width="61.7109375" style="108" customWidth="1"/>
    <col min="3330" max="3330" width="18.5703125" style="108" customWidth="1"/>
    <col min="3331" max="3370" width="16.85546875" style="108" customWidth="1"/>
    <col min="3371" max="3372" width="18.5703125" style="108" customWidth="1"/>
    <col min="3373" max="3373" width="21.7109375" style="108" customWidth="1"/>
    <col min="3374" max="3584" width="9.140625" style="108"/>
    <col min="3585" max="3585" width="61.7109375" style="108" customWidth="1"/>
    <col min="3586" max="3586" width="18.5703125" style="108" customWidth="1"/>
    <col min="3587" max="3626" width="16.85546875" style="108" customWidth="1"/>
    <col min="3627" max="3628" width="18.5703125" style="108" customWidth="1"/>
    <col min="3629" max="3629" width="21.7109375" style="108" customWidth="1"/>
    <col min="3630" max="3840" width="9.140625" style="108"/>
    <col min="3841" max="3841" width="61.7109375" style="108" customWidth="1"/>
    <col min="3842" max="3842" width="18.5703125" style="108" customWidth="1"/>
    <col min="3843" max="3882" width="16.85546875" style="108" customWidth="1"/>
    <col min="3883" max="3884" width="18.5703125" style="108" customWidth="1"/>
    <col min="3885" max="3885" width="21.7109375" style="108" customWidth="1"/>
    <col min="3886" max="4096" width="9.140625" style="108"/>
    <col min="4097" max="4097" width="61.7109375" style="108" customWidth="1"/>
    <col min="4098" max="4098" width="18.5703125" style="108" customWidth="1"/>
    <col min="4099" max="4138" width="16.85546875" style="108" customWidth="1"/>
    <col min="4139" max="4140" width="18.5703125" style="108" customWidth="1"/>
    <col min="4141" max="4141" width="21.7109375" style="108" customWidth="1"/>
    <col min="4142" max="4352" width="9.140625" style="108"/>
    <col min="4353" max="4353" width="61.7109375" style="108" customWidth="1"/>
    <col min="4354" max="4354" width="18.5703125" style="108" customWidth="1"/>
    <col min="4355" max="4394" width="16.85546875" style="108" customWidth="1"/>
    <col min="4395" max="4396" width="18.5703125" style="108" customWidth="1"/>
    <col min="4397" max="4397" width="21.7109375" style="108" customWidth="1"/>
    <col min="4398" max="4608" width="9.140625" style="108"/>
    <col min="4609" max="4609" width="61.7109375" style="108" customWidth="1"/>
    <col min="4610" max="4610" width="18.5703125" style="108" customWidth="1"/>
    <col min="4611" max="4650" width="16.85546875" style="108" customWidth="1"/>
    <col min="4651" max="4652" width="18.5703125" style="108" customWidth="1"/>
    <col min="4653" max="4653" width="21.7109375" style="108" customWidth="1"/>
    <col min="4654" max="4864" width="9.140625" style="108"/>
    <col min="4865" max="4865" width="61.7109375" style="108" customWidth="1"/>
    <col min="4866" max="4866" width="18.5703125" style="108" customWidth="1"/>
    <col min="4867" max="4906" width="16.85546875" style="108" customWidth="1"/>
    <col min="4907" max="4908" width="18.5703125" style="108" customWidth="1"/>
    <col min="4909" max="4909" width="21.7109375" style="108" customWidth="1"/>
    <col min="4910" max="5120" width="9.140625" style="108"/>
    <col min="5121" max="5121" width="61.7109375" style="108" customWidth="1"/>
    <col min="5122" max="5122" width="18.5703125" style="108" customWidth="1"/>
    <col min="5123" max="5162" width="16.85546875" style="108" customWidth="1"/>
    <col min="5163" max="5164" width="18.5703125" style="108" customWidth="1"/>
    <col min="5165" max="5165" width="21.7109375" style="108" customWidth="1"/>
    <col min="5166" max="5376" width="9.140625" style="108"/>
    <col min="5377" max="5377" width="61.7109375" style="108" customWidth="1"/>
    <col min="5378" max="5378" width="18.5703125" style="108" customWidth="1"/>
    <col min="5379" max="5418" width="16.85546875" style="108" customWidth="1"/>
    <col min="5419" max="5420" width="18.5703125" style="108" customWidth="1"/>
    <col min="5421" max="5421" width="21.7109375" style="108" customWidth="1"/>
    <col min="5422" max="5632" width="9.140625" style="108"/>
    <col min="5633" max="5633" width="61.7109375" style="108" customWidth="1"/>
    <col min="5634" max="5634" width="18.5703125" style="108" customWidth="1"/>
    <col min="5635" max="5674" width="16.85546875" style="108" customWidth="1"/>
    <col min="5675" max="5676" width="18.5703125" style="108" customWidth="1"/>
    <col min="5677" max="5677" width="21.7109375" style="108" customWidth="1"/>
    <col min="5678" max="5888" width="9.140625" style="108"/>
    <col min="5889" max="5889" width="61.7109375" style="108" customWidth="1"/>
    <col min="5890" max="5890" width="18.5703125" style="108" customWidth="1"/>
    <col min="5891" max="5930" width="16.85546875" style="108" customWidth="1"/>
    <col min="5931" max="5932" width="18.5703125" style="108" customWidth="1"/>
    <col min="5933" max="5933" width="21.7109375" style="108" customWidth="1"/>
    <col min="5934" max="6144" width="9.140625" style="108"/>
    <col min="6145" max="6145" width="61.7109375" style="108" customWidth="1"/>
    <col min="6146" max="6146" width="18.5703125" style="108" customWidth="1"/>
    <col min="6147" max="6186" width="16.85546875" style="108" customWidth="1"/>
    <col min="6187" max="6188" width="18.5703125" style="108" customWidth="1"/>
    <col min="6189" max="6189" width="21.7109375" style="108" customWidth="1"/>
    <col min="6190" max="6400" width="9.140625" style="108"/>
    <col min="6401" max="6401" width="61.7109375" style="108" customWidth="1"/>
    <col min="6402" max="6402" width="18.5703125" style="108" customWidth="1"/>
    <col min="6403" max="6442" width="16.85546875" style="108" customWidth="1"/>
    <col min="6443" max="6444" width="18.5703125" style="108" customWidth="1"/>
    <col min="6445" max="6445" width="21.7109375" style="108" customWidth="1"/>
    <col min="6446" max="6656" width="9.140625" style="108"/>
    <col min="6657" max="6657" width="61.7109375" style="108" customWidth="1"/>
    <col min="6658" max="6658" width="18.5703125" style="108" customWidth="1"/>
    <col min="6659" max="6698" width="16.85546875" style="108" customWidth="1"/>
    <col min="6699" max="6700" width="18.5703125" style="108" customWidth="1"/>
    <col min="6701" max="6701" width="21.7109375" style="108" customWidth="1"/>
    <col min="6702" max="6912" width="9.140625" style="108"/>
    <col min="6913" max="6913" width="61.7109375" style="108" customWidth="1"/>
    <col min="6914" max="6914" width="18.5703125" style="108" customWidth="1"/>
    <col min="6915" max="6954" width="16.85546875" style="108" customWidth="1"/>
    <col min="6955" max="6956" width="18.5703125" style="108" customWidth="1"/>
    <col min="6957" max="6957" width="21.7109375" style="108" customWidth="1"/>
    <col min="6958" max="7168" width="9.140625" style="108"/>
    <col min="7169" max="7169" width="61.7109375" style="108" customWidth="1"/>
    <col min="7170" max="7170" width="18.5703125" style="108" customWidth="1"/>
    <col min="7171" max="7210" width="16.85546875" style="108" customWidth="1"/>
    <col min="7211" max="7212" width="18.5703125" style="108" customWidth="1"/>
    <col min="7213" max="7213" width="21.7109375" style="108" customWidth="1"/>
    <col min="7214" max="7424" width="9.140625" style="108"/>
    <col min="7425" max="7425" width="61.7109375" style="108" customWidth="1"/>
    <col min="7426" max="7426" width="18.5703125" style="108" customWidth="1"/>
    <col min="7427" max="7466" width="16.85546875" style="108" customWidth="1"/>
    <col min="7467" max="7468" width="18.5703125" style="108" customWidth="1"/>
    <col min="7469" max="7469" width="21.7109375" style="108" customWidth="1"/>
    <col min="7470" max="7680" width="9.140625" style="108"/>
    <col min="7681" max="7681" width="61.7109375" style="108" customWidth="1"/>
    <col min="7682" max="7682" width="18.5703125" style="108" customWidth="1"/>
    <col min="7683" max="7722" width="16.85546875" style="108" customWidth="1"/>
    <col min="7723" max="7724" width="18.5703125" style="108" customWidth="1"/>
    <col min="7725" max="7725" width="21.7109375" style="108" customWidth="1"/>
    <col min="7726" max="7936" width="9.140625" style="108"/>
    <col min="7937" max="7937" width="61.7109375" style="108" customWidth="1"/>
    <col min="7938" max="7938" width="18.5703125" style="108" customWidth="1"/>
    <col min="7939" max="7978" width="16.85546875" style="108" customWidth="1"/>
    <col min="7979" max="7980" width="18.5703125" style="108" customWidth="1"/>
    <col min="7981" max="7981" width="21.7109375" style="108" customWidth="1"/>
    <col min="7982" max="8192" width="9.140625" style="108"/>
    <col min="8193" max="8193" width="61.7109375" style="108" customWidth="1"/>
    <col min="8194" max="8194" width="18.5703125" style="108" customWidth="1"/>
    <col min="8195" max="8234" width="16.85546875" style="108" customWidth="1"/>
    <col min="8235" max="8236" width="18.5703125" style="108" customWidth="1"/>
    <col min="8237" max="8237" width="21.7109375" style="108" customWidth="1"/>
    <col min="8238" max="8448" width="9.140625" style="108"/>
    <col min="8449" max="8449" width="61.7109375" style="108" customWidth="1"/>
    <col min="8450" max="8450" width="18.5703125" style="108" customWidth="1"/>
    <col min="8451" max="8490" width="16.85546875" style="108" customWidth="1"/>
    <col min="8491" max="8492" width="18.5703125" style="108" customWidth="1"/>
    <col min="8493" max="8493" width="21.7109375" style="108" customWidth="1"/>
    <col min="8494" max="8704" width="9.140625" style="108"/>
    <col min="8705" max="8705" width="61.7109375" style="108" customWidth="1"/>
    <col min="8706" max="8706" width="18.5703125" style="108" customWidth="1"/>
    <col min="8707" max="8746" width="16.85546875" style="108" customWidth="1"/>
    <col min="8747" max="8748" width="18.5703125" style="108" customWidth="1"/>
    <col min="8749" max="8749" width="21.7109375" style="108" customWidth="1"/>
    <col min="8750" max="8960" width="9.140625" style="108"/>
    <col min="8961" max="8961" width="61.7109375" style="108" customWidth="1"/>
    <col min="8962" max="8962" width="18.5703125" style="108" customWidth="1"/>
    <col min="8963" max="9002" width="16.85546875" style="108" customWidth="1"/>
    <col min="9003" max="9004" width="18.5703125" style="108" customWidth="1"/>
    <col min="9005" max="9005" width="21.7109375" style="108" customWidth="1"/>
    <col min="9006" max="9216" width="9.140625" style="108"/>
    <col min="9217" max="9217" width="61.7109375" style="108" customWidth="1"/>
    <col min="9218" max="9218" width="18.5703125" style="108" customWidth="1"/>
    <col min="9219" max="9258" width="16.85546875" style="108" customWidth="1"/>
    <col min="9259" max="9260" width="18.5703125" style="108" customWidth="1"/>
    <col min="9261" max="9261" width="21.7109375" style="108" customWidth="1"/>
    <col min="9262" max="9472" width="9.140625" style="108"/>
    <col min="9473" max="9473" width="61.7109375" style="108" customWidth="1"/>
    <col min="9474" max="9474" width="18.5703125" style="108" customWidth="1"/>
    <col min="9475" max="9514" width="16.85546875" style="108" customWidth="1"/>
    <col min="9515" max="9516" width="18.5703125" style="108" customWidth="1"/>
    <col min="9517" max="9517" width="21.7109375" style="108" customWidth="1"/>
    <col min="9518" max="9728" width="9.140625" style="108"/>
    <col min="9729" max="9729" width="61.7109375" style="108" customWidth="1"/>
    <col min="9730" max="9730" width="18.5703125" style="108" customWidth="1"/>
    <col min="9731" max="9770" width="16.85546875" style="108" customWidth="1"/>
    <col min="9771" max="9772" width="18.5703125" style="108" customWidth="1"/>
    <col min="9773" max="9773" width="21.7109375" style="108" customWidth="1"/>
    <col min="9774" max="9984" width="9.140625" style="108"/>
    <col min="9985" max="9985" width="61.7109375" style="108" customWidth="1"/>
    <col min="9986" max="9986" width="18.5703125" style="108" customWidth="1"/>
    <col min="9987" max="10026" width="16.85546875" style="108" customWidth="1"/>
    <col min="10027" max="10028" width="18.5703125" style="108" customWidth="1"/>
    <col min="10029" max="10029" width="21.7109375" style="108" customWidth="1"/>
    <col min="10030" max="10240" width="9.140625" style="108"/>
    <col min="10241" max="10241" width="61.7109375" style="108" customWidth="1"/>
    <col min="10242" max="10242" width="18.5703125" style="108" customWidth="1"/>
    <col min="10243" max="10282" width="16.85546875" style="108" customWidth="1"/>
    <col min="10283" max="10284" width="18.5703125" style="108" customWidth="1"/>
    <col min="10285" max="10285" width="21.7109375" style="108" customWidth="1"/>
    <col min="10286" max="10496" width="9.140625" style="108"/>
    <col min="10497" max="10497" width="61.7109375" style="108" customWidth="1"/>
    <col min="10498" max="10498" width="18.5703125" style="108" customWidth="1"/>
    <col min="10499" max="10538" width="16.85546875" style="108" customWidth="1"/>
    <col min="10539" max="10540" width="18.5703125" style="108" customWidth="1"/>
    <col min="10541" max="10541" width="21.7109375" style="108" customWidth="1"/>
    <col min="10542" max="10752" width="9.140625" style="108"/>
    <col min="10753" max="10753" width="61.7109375" style="108" customWidth="1"/>
    <col min="10754" max="10754" width="18.5703125" style="108" customWidth="1"/>
    <col min="10755" max="10794" width="16.85546875" style="108" customWidth="1"/>
    <col min="10795" max="10796" width="18.5703125" style="108" customWidth="1"/>
    <col min="10797" max="10797" width="21.7109375" style="108" customWidth="1"/>
    <col min="10798" max="11008" width="9.140625" style="108"/>
    <col min="11009" max="11009" width="61.7109375" style="108" customWidth="1"/>
    <col min="11010" max="11010" width="18.5703125" style="108" customWidth="1"/>
    <col min="11011" max="11050" width="16.85546875" style="108" customWidth="1"/>
    <col min="11051" max="11052" width="18.5703125" style="108" customWidth="1"/>
    <col min="11053" max="11053" width="21.7109375" style="108" customWidth="1"/>
    <col min="11054" max="11264" width="9.140625" style="108"/>
    <col min="11265" max="11265" width="61.7109375" style="108" customWidth="1"/>
    <col min="11266" max="11266" width="18.5703125" style="108" customWidth="1"/>
    <col min="11267" max="11306" width="16.85546875" style="108" customWidth="1"/>
    <col min="11307" max="11308" width="18.5703125" style="108" customWidth="1"/>
    <col min="11309" max="11309" width="21.7109375" style="108" customWidth="1"/>
    <col min="11310" max="11520" width="9.140625" style="108"/>
    <col min="11521" max="11521" width="61.7109375" style="108" customWidth="1"/>
    <col min="11522" max="11522" width="18.5703125" style="108" customWidth="1"/>
    <col min="11523" max="11562" width="16.85546875" style="108" customWidth="1"/>
    <col min="11563" max="11564" width="18.5703125" style="108" customWidth="1"/>
    <col min="11565" max="11565" width="21.7109375" style="108" customWidth="1"/>
    <col min="11566" max="11776" width="9.140625" style="108"/>
    <col min="11777" max="11777" width="61.7109375" style="108" customWidth="1"/>
    <col min="11778" max="11778" width="18.5703125" style="108" customWidth="1"/>
    <col min="11779" max="11818" width="16.85546875" style="108" customWidth="1"/>
    <col min="11819" max="11820" width="18.5703125" style="108" customWidth="1"/>
    <col min="11821" max="11821" width="21.7109375" style="108" customWidth="1"/>
    <col min="11822" max="12032" width="9.140625" style="108"/>
    <col min="12033" max="12033" width="61.7109375" style="108" customWidth="1"/>
    <col min="12034" max="12034" width="18.5703125" style="108" customWidth="1"/>
    <col min="12035" max="12074" width="16.85546875" style="108" customWidth="1"/>
    <col min="12075" max="12076" width="18.5703125" style="108" customWidth="1"/>
    <col min="12077" max="12077" width="21.7109375" style="108" customWidth="1"/>
    <col min="12078" max="12288" width="9.140625" style="108"/>
    <col min="12289" max="12289" width="61.7109375" style="108" customWidth="1"/>
    <col min="12290" max="12290" width="18.5703125" style="108" customWidth="1"/>
    <col min="12291" max="12330" width="16.85546875" style="108" customWidth="1"/>
    <col min="12331" max="12332" width="18.5703125" style="108" customWidth="1"/>
    <col min="12333" max="12333" width="21.7109375" style="108" customWidth="1"/>
    <col min="12334" max="12544" width="9.140625" style="108"/>
    <col min="12545" max="12545" width="61.7109375" style="108" customWidth="1"/>
    <col min="12546" max="12546" width="18.5703125" style="108" customWidth="1"/>
    <col min="12547" max="12586" width="16.85546875" style="108" customWidth="1"/>
    <col min="12587" max="12588" width="18.5703125" style="108" customWidth="1"/>
    <col min="12589" max="12589" width="21.7109375" style="108" customWidth="1"/>
    <col min="12590" max="12800" width="9.140625" style="108"/>
    <col min="12801" max="12801" width="61.7109375" style="108" customWidth="1"/>
    <col min="12802" max="12802" width="18.5703125" style="108" customWidth="1"/>
    <col min="12803" max="12842" width="16.85546875" style="108" customWidth="1"/>
    <col min="12843" max="12844" width="18.5703125" style="108" customWidth="1"/>
    <col min="12845" max="12845" width="21.7109375" style="108" customWidth="1"/>
    <col min="12846" max="13056" width="9.140625" style="108"/>
    <col min="13057" max="13057" width="61.7109375" style="108" customWidth="1"/>
    <col min="13058" max="13058" width="18.5703125" style="108" customWidth="1"/>
    <col min="13059" max="13098" width="16.85546875" style="108" customWidth="1"/>
    <col min="13099" max="13100" width="18.5703125" style="108" customWidth="1"/>
    <col min="13101" max="13101" width="21.7109375" style="108" customWidth="1"/>
    <col min="13102" max="13312" width="9.140625" style="108"/>
    <col min="13313" max="13313" width="61.7109375" style="108" customWidth="1"/>
    <col min="13314" max="13314" width="18.5703125" style="108" customWidth="1"/>
    <col min="13315" max="13354" width="16.85546875" style="108" customWidth="1"/>
    <col min="13355" max="13356" width="18.5703125" style="108" customWidth="1"/>
    <col min="13357" max="13357" width="21.7109375" style="108" customWidth="1"/>
    <col min="13358" max="13568" width="9.140625" style="108"/>
    <col min="13569" max="13569" width="61.7109375" style="108" customWidth="1"/>
    <col min="13570" max="13570" width="18.5703125" style="108" customWidth="1"/>
    <col min="13571" max="13610" width="16.85546875" style="108" customWidth="1"/>
    <col min="13611" max="13612" width="18.5703125" style="108" customWidth="1"/>
    <col min="13613" max="13613" width="21.7109375" style="108" customWidth="1"/>
    <col min="13614" max="13824" width="9.140625" style="108"/>
    <col min="13825" max="13825" width="61.7109375" style="108" customWidth="1"/>
    <col min="13826" max="13826" width="18.5703125" style="108" customWidth="1"/>
    <col min="13827" max="13866" width="16.85546875" style="108" customWidth="1"/>
    <col min="13867" max="13868" width="18.5703125" style="108" customWidth="1"/>
    <col min="13869" max="13869" width="21.7109375" style="108" customWidth="1"/>
    <col min="13870" max="14080" width="9.140625" style="108"/>
    <col min="14081" max="14081" width="61.7109375" style="108" customWidth="1"/>
    <col min="14082" max="14082" width="18.5703125" style="108" customWidth="1"/>
    <col min="14083" max="14122" width="16.85546875" style="108" customWidth="1"/>
    <col min="14123" max="14124" width="18.5703125" style="108" customWidth="1"/>
    <col min="14125" max="14125" width="21.7109375" style="108" customWidth="1"/>
    <col min="14126" max="14336" width="9.140625" style="108"/>
    <col min="14337" max="14337" width="61.7109375" style="108" customWidth="1"/>
    <col min="14338" max="14338" width="18.5703125" style="108" customWidth="1"/>
    <col min="14339" max="14378" width="16.85546875" style="108" customWidth="1"/>
    <col min="14379" max="14380" width="18.5703125" style="108" customWidth="1"/>
    <col min="14381" max="14381" width="21.7109375" style="108" customWidth="1"/>
    <col min="14382" max="14592" width="9.140625" style="108"/>
    <col min="14593" max="14593" width="61.7109375" style="108" customWidth="1"/>
    <col min="14594" max="14594" width="18.5703125" style="108" customWidth="1"/>
    <col min="14595" max="14634" width="16.85546875" style="108" customWidth="1"/>
    <col min="14635" max="14636" width="18.5703125" style="108" customWidth="1"/>
    <col min="14637" max="14637" width="21.7109375" style="108" customWidth="1"/>
    <col min="14638" max="14848" width="9.140625" style="108"/>
    <col min="14849" max="14849" width="61.7109375" style="108" customWidth="1"/>
    <col min="14850" max="14850" width="18.5703125" style="108" customWidth="1"/>
    <col min="14851" max="14890" width="16.85546875" style="108" customWidth="1"/>
    <col min="14891" max="14892" width="18.5703125" style="108" customWidth="1"/>
    <col min="14893" max="14893" width="21.7109375" style="108" customWidth="1"/>
    <col min="14894" max="15104" width="9.140625" style="108"/>
    <col min="15105" max="15105" width="61.7109375" style="108" customWidth="1"/>
    <col min="15106" max="15106" width="18.5703125" style="108" customWidth="1"/>
    <col min="15107" max="15146" width="16.85546875" style="108" customWidth="1"/>
    <col min="15147" max="15148" width="18.5703125" style="108" customWidth="1"/>
    <col min="15149" max="15149" width="21.7109375" style="108" customWidth="1"/>
    <col min="15150" max="15360" width="9.140625" style="108"/>
    <col min="15361" max="15361" width="61.7109375" style="108" customWidth="1"/>
    <col min="15362" max="15362" width="18.5703125" style="108" customWidth="1"/>
    <col min="15363" max="15402" width="16.85546875" style="108" customWidth="1"/>
    <col min="15403" max="15404" width="18.5703125" style="108" customWidth="1"/>
    <col min="15405" max="15405" width="21.7109375" style="108" customWidth="1"/>
    <col min="15406" max="15616" width="9.140625" style="108"/>
    <col min="15617" max="15617" width="61.7109375" style="108" customWidth="1"/>
    <col min="15618" max="15618" width="18.5703125" style="108" customWidth="1"/>
    <col min="15619" max="15658" width="16.85546875" style="108" customWidth="1"/>
    <col min="15659" max="15660" width="18.5703125" style="108" customWidth="1"/>
    <col min="15661" max="15661" width="21.7109375" style="108" customWidth="1"/>
    <col min="15662" max="15872" width="9.140625" style="108"/>
    <col min="15873" max="15873" width="61.7109375" style="108" customWidth="1"/>
    <col min="15874" max="15874" width="18.5703125" style="108" customWidth="1"/>
    <col min="15875" max="15914" width="16.85546875" style="108" customWidth="1"/>
    <col min="15915" max="15916" width="18.5703125" style="108" customWidth="1"/>
    <col min="15917" max="15917" width="21.7109375" style="108" customWidth="1"/>
    <col min="15918" max="16128" width="9.140625" style="108"/>
    <col min="16129" max="16129" width="61.7109375" style="108" customWidth="1"/>
    <col min="16130" max="16130" width="18.5703125" style="108" customWidth="1"/>
    <col min="16131" max="16170" width="16.85546875" style="108" customWidth="1"/>
    <col min="16171" max="16172" width="18.5703125" style="108" customWidth="1"/>
    <col min="16173" max="16173" width="21.7109375" style="108" customWidth="1"/>
    <col min="16174" max="16384" width="9.140625" style="108"/>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8"/>
      <c r="F2" s="108"/>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9"/>
      <c r="AR2" s="109"/>
    </row>
    <row r="3" spans="1:44" ht="18.75" x14ac:dyDescent="0.3">
      <c r="A3" s="16"/>
      <c r="B3" s="11"/>
      <c r="C3" s="11"/>
      <c r="D3" s="11"/>
      <c r="E3" s="108"/>
      <c r="F3" s="108"/>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9"/>
      <c r="AR3" s="10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0"/>
      <c r="AR4" s="110"/>
    </row>
    <row r="5" spans="1:44" x14ac:dyDescent="0.2">
      <c r="A5" s="530" t="str">
        <f>'4. паспортбюджет'!A5:O5</f>
        <v>Год раскрытия информации: 2025 год</v>
      </c>
      <c r="B5" s="530"/>
      <c r="C5" s="530"/>
      <c r="D5" s="530"/>
      <c r="E5" s="530"/>
      <c r="F5" s="530"/>
      <c r="G5" s="530"/>
      <c r="H5" s="530"/>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2"/>
      <c r="AR5" s="11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0"/>
      <c r="AR6" s="110"/>
    </row>
    <row r="7" spans="1:44" ht="18.75" x14ac:dyDescent="0.2">
      <c r="A7" s="473" t="str">
        <f>'[2]1. паспорт местоположение'!A7:C7</f>
        <v xml:space="preserve">Паспорт инвестиционного проекта </v>
      </c>
      <c r="B7" s="473"/>
      <c r="C7" s="473"/>
      <c r="D7" s="473"/>
      <c r="E7" s="473"/>
      <c r="F7" s="473"/>
      <c r="G7" s="473"/>
      <c r="H7" s="473"/>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113"/>
      <c r="AR7" s="113"/>
    </row>
    <row r="8" spans="1:44" ht="18.75" x14ac:dyDescent="0.2">
      <c r="A8" s="195"/>
      <c r="B8" s="195"/>
      <c r="C8" s="195"/>
      <c r="D8" s="195"/>
      <c r="E8" s="195"/>
      <c r="F8" s="195"/>
      <c r="G8" s="195"/>
      <c r="H8" s="195"/>
      <c r="I8" s="195"/>
      <c r="J8" s="195"/>
      <c r="K8" s="195"/>
      <c r="L8" s="96"/>
      <c r="M8" s="96"/>
      <c r="N8" s="96"/>
      <c r="O8" s="96"/>
      <c r="P8" s="96"/>
      <c r="Q8" s="96"/>
      <c r="R8" s="96"/>
      <c r="S8" s="96"/>
      <c r="T8" s="96"/>
      <c r="U8" s="96"/>
      <c r="V8" s="96"/>
      <c r="W8" s="96"/>
      <c r="X8" s="96"/>
      <c r="Y8" s="96"/>
      <c r="Z8" s="11"/>
      <c r="AA8" s="11"/>
      <c r="AB8" s="11"/>
      <c r="AC8" s="11"/>
      <c r="AD8" s="11"/>
      <c r="AE8" s="11"/>
      <c r="AF8" s="11"/>
      <c r="AG8" s="11"/>
      <c r="AH8" s="11"/>
      <c r="AI8" s="11"/>
      <c r="AJ8" s="11"/>
      <c r="AK8" s="11"/>
      <c r="AL8" s="11"/>
      <c r="AM8" s="11"/>
      <c r="AN8" s="11"/>
      <c r="AO8" s="11"/>
      <c r="AP8" s="11"/>
      <c r="AQ8" s="110"/>
      <c r="AR8" s="110"/>
    </row>
    <row r="9" spans="1:44" ht="18.75" x14ac:dyDescent="0.2">
      <c r="A9" s="483" t="str">
        <f>'4. паспортбюджет'!A9:O9</f>
        <v>Акционерное общество "Россети Янтарь" ДЗО  ПАО "Россети"</v>
      </c>
      <c r="B9" s="483"/>
      <c r="C9" s="483"/>
      <c r="D9" s="483"/>
      <c r="E9" s="483"/>
      <c r="F9" s="483"/>
      <c r="G9" s="483"/>
      <c r="H9" s="483"/>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14"/>
      <c r="AR9" s="114"/>
    </row>
    <row r="10" spans="1:44" x14ac:dyDescent="0.2">
      <c r="A10" s="472" t="s">
        <v>5</v>
      </c>
      <c r="B10" s="472"/>
      <c r="C10" s="472"/>
      <c r="D10" s="472"/>
      <c r="E10" s="472"/>
      <c r="F10" s="472"/>
      <c r="G10" s="472"/>
      <c r="H10" s="472"/>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115"/>
      <c r="AR10" s="115"/>
    </row>
    <row r="11" spans="1:44" ht="18.75" x14ac:dyDescent="0.2">
      <c r="A11" s="195"/>
      <c r="B11" s="195"/>
      <c r="C11" s="195"/>
      <c r="D11" s="195"/>
      <c r="E11" s="195"/>
      <c r="F11" s="195"/>
      <c r="G11" s="195"/>
      <c r="H11" s="195"/>
      <c r="I11" s="195"/>
      <c r="J11" s="195"/>
      <c r="K11" s="195"/>
      <c r="L11" s="96"/>
      <c r="M11" s="96"/>
      <c r="N11" s="96"/>
      <c r="O11" s="96"/>
      <c r="P11" s="96"/>
      <c r="Q11" s="96"/>
      <c r="R11" s="96"/>
      <c r="S11" s="96"/>
      <c r="T11" s="96"/>
      <c r="U11" s="96"/>
      <c r="V11" s="96"/>
      <c r="W11" s="96"/>
      <c r="X11" s="96"/>
      <c r="Y11" s="96"/>
      <c r="Z11" s="11"/>
      <c r="AA11" s="11"/>
      <c r="AB11" s="11"/>
      <c r="AC11" s="11"/>
      <c r="AD11" s="11"/>
      <c r="AE11" s="11"/>
      <c r="AF11" s="11"/>
      <c r="AG11" s="11"/>
      <c r="AH11" s="11"/>
      <c r="AI11" s="11"/>
      <c r="AJ11" s="11"/>
      <c r="AK11" s="11"/>
      <c r="AL11" s="11"/>
      <c r="AM11" s="11"/>
      <c r="AN11" s="11"/>
      <c r="AO11" s="11"/>
      <c r="AP11" s="11"/>
      <c r="AQ11" s="110"/>
      <c r="AR11" s="110"/>
    </row>
    <row r="12" spans="1:44" ht="18.75" x14ac:dyDescent="0.2">
      <c r="A12" s="483" t="str">
        <f>'1. паспорт местоположение'!A12:C12</f>
        <v>N_22-1289</v>
      </c>
      <c r="B12" s="483"/>
      <c r="C12" s="483"/>
      <c r="D12" s="483"/>
      <c r="E12" s="483"/>
      <c r="F12" s="483"/>
      <c r="G12" s="483"/>
      <c r="H12" s="483"/>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14"/>
      <c r="AR12" s="114"/>
    </row>
    <row r="13" spans="1:44" x14ac:dyDescent="0.2">
      <c r="A13" s="472" t="s">
        <v>4</v>
      </c>
      <c r="B13" s="472"/>
      <c r="C13" s="472"/>
      <c r="D13" s="472"/>
      <c r="E13" s="472"/>
      <c r="F13" s="472"/>
      <c r="G13" s="472"/>
      <c r="H13" s="472"/>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115"/>
      <c r="AR13" s="115"/>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6"/>
      <c r="AR14" s="116"/>
    </row>
    <row r="15" spans="1:44" ht="51.75" customHeight="1" x14ac:dyDescent="0.25">
      <c r="A15" s="533" t="str">
        <f>'1. паспорт местоположение'!A15:C15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533"/>
      <c r="C15" s="533"/>
      <c r="D15" s="533"/>
      <c r="E15" s="533"/>
      <c r="F15" s="533"/>
      <c r="G15" s="533"/>
      <c r="H15" s="533"/>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14"/>
      <c r="AR15" s="114"/>
    </row>
    <row r="16" spans="1:44" x14ac:dyDescent="0.2">
      <c r="A16" s="472" t="s">
        <v>3</v>
      </c>
      <c r="B16" s="472"/>
      <c r="C16" s="472"/>
      <c r="D16" s="472"/>
      <c r="E16" s="472"/>
      <c r="F16" s="472"/>
      <c r="G16" s="472"/>
      <c r="H16" s="472"/>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115"/>
      <c r="AR16" s="115"/>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7"/>
      <c r="AR17" s="117"/>
    </row>
    <row r="18" spans="1:44" ht="18.75" x14ac:dyDescent="0.2">
      <c r="A18" s="483" t="s">
        <v>426</v>
      </c>
      <c r="B18" s="483"/>
      <c r="C18" s="483"/>
      <c r="D18" s="483"/>
      <c r="E18" s="483"/>
      <c r="F18" s="483"/>
      <c r="G18" s="483"/>
      <c r="H18" s="48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8"/>
      <c r="AR18" s="118"/>
    </row>
    <row r="19" spans="1:44" x14ac:dyDescent="0.2">
      <c r="A19" s="119"/>
      <c r="Q19" s="120"/>
    </row>
    <row r="20" spans="1:44" x14ac:dyDescent="0.2">
      <c r="A20" s="119"/>
      <c r="Q20" s="120"/>
    </row>
    <row r="21" spans="1:44" x14ac:dyDescent="0.2">
      <c r="A21" s="119"/>
      <c r="Q21" s="120"/>
    </row>
    <row r="22" spans="1:44" x14ac:dyDescent="0.2">
      <c r="A22" s="119"/>
      <c r="Q22" s="120"/>
    </row>
    <row r="23" spans="1:44" x14ac:dyDescent="0.2">
      <c r="D23" s="122"/>
      <c r="Q23" s="120"/>
    </row>
    <row r="24" spans="1:44" ht="16.5" thickBot="1" x14ac:dyDescent="0.25">
      <c r="A24" s="123" t="s">
        <v>293</v>
      </c>
      <c r="B24" s="124" t="s">
        <v>0</v>
      </c>
      <c r="D24" s="125"/>
      <c r="E24" s="126"/>
      <c r="F24" s="126"/>
      <c r="G24" s="126"/>
      <c r="H24" s="126"/>
    </row>
    <row r="25" spans="1:44" x14ac:dyDescent="0.2">
      <c r="A25" s="127" t="s">
        <v>461</v>
      </c>
      <c r="B25" s="128">
        <f>'6.2. Паспорт фин осв ввод'!AC52*1000000</f>
        <v>9478354.0299999993</v>
      </c>
    </row>
    <row r="26" spans="1:44" x14ac:dyDescent="0.2">
      <c r="A26" s="129" t="s">
        <v>291</v>
      </c>
      <c r="B26" s="130">
        <v>0</v>
      </c>
    </row>
    <row r="27" spans="1:44" x14ac:dyDescent="0.2">
      <c r="A27" s="129" t="s">
        <v>289</v>
      </c>
      <c r="B27" s="130">
        <f>$B$126</f>
        <v>30</v>
      </c>
      <c r="D27" s="122" t="s">
        <v>292</v>
      </c>
    </row>
    <row r="28" spans="1:44" ht="16.149999999999999" customHeight="1" thickBot="1" x14ac:dyDescent="0.25">
      <c r="A28" s="131" t="s">
        <v>287</v>
      </c>
      <c r="B28" s="132">
        <v>1</v>
      </c>
      <c r="D28" s="534" t="s">
        <v>290</v>
      </c>
      <c r="E28" s="535"/>
      <c r="F28" s="536"/>
      <c r="G28" s="537" t="str">
        <f>IF(SUM(B89:L89)=0,"не окупается",SUM(B89:L89))</f>
        <v>не окупается</v>
      </c>
      <c r="H28" s="538"/>
    </row>
    <row r="29" spans="1:44" ht="15.6" customHeight="1" x14ac:dyDescent="0.2">
      <c r="A29" s="127" t="s">
        <v>285</v>
      </c>
      <c r="B29" s="128">
        <f>$B$129*$B$130</f>
        <v>113322.0434</v>
      </c>
      <c r="D29" s="534" t="s">
        <v>288</v>
      </c>
      <c r="E29" s="535"/>
      <c r="F29" s="536"/>
      <c r="G29" s="537" t="str">
        <f>IF(SUM(B90:L90)=0,"не окупается",SUM(B90:L90))</f>
        <v>не окупается</v>
      </c>
      <c r="H29" s="538"/>
    </row>
    <row r="30" spans="1:44" ht="27.6" customHeight="1" x14ac:dyDescent="0.2">
      <c r="A30" s="129" t="s">
        <v>462</v>
      </c>
      <c r="B30" s="130">
        <v>6</v>
      </c>
      <c r="D30" s="534" t="s">
        <v>286</v>
      </c>
      <c r="E30" s="535"/>
      <c r="F30" s="536"/>
      <c r="G30" s="539">
        <f>M87</f>
        <v>-7912928.3925132072</v>
      </c>
      <c r="H30" s="540"/>
    </row>
    <row r="31" spans="1:44" x14ac:dyDescent="0.2">
      <c r="A31" s="129" t="s">
        <v>284</v>
      </c>
      <c r="B31" s="130">
        <v>6</v>
      </c>
      <c r="D31" s="541"/>
      <c r="E31" s="542"/>
      <c r="F31" s="543"/>
      <c r="G31" s="541"/>
      <c r="H31" s="543"/>
    </row>
    <row r="32" spans="1:44" x14ac:dyDescent="0.2">
      <c r="A32" s="129" t="s">
        <v>262</v>
      </c>
      <c r="B32" s="130"/>
    </row>
    <row r="33" spans="1:42" x14ac:dyDescent="0.2">
      <c r="A33" s="129" t="s">
        <v>283</v>
      </c>
      <c r="B33" s="130"/>
    </row>
    <row r="34" spans="1:42" x14ac:dyDescent="0.2">
      <c r="A34" s="129" t="s">
        <v>282</v>
      </c>
      <c r="B34" s="130"/>
    </row>
    <row r="35" spans="1:42" x14ac:dyDescent="0.2">
      <c r="A35" s="133"/>
      <c r="B35" s="130"/>
    </row>
    <row r="36" spans="1:42" ht="16.5" thickBot="1" x14ac:dyDescent="0.25">
      <c r="A36" s="131" t="s">
        <v>254</v>
      </c>
      <c r="B36" s="134">
        <v>0.2</v>
      </c>
    </row>
    <row r="37" spans="1:42" x14ac:dyDescent="0.2">
      <c r="A37" s="127" t="s">
        <v>463</v>
      </c>
      <c r="B37" s="128">
        <v>0</v>
      </c>
    </row>
    <row r="38" spans="1:42" x14ac:dyDescent="0.2">
      <c r="A38" s="129" t="s">
        <v>281</v>
      </c>
      <c r="B38" s="130"/>
    </row>
    <row r="39" spans="1:42" ht="16.5" thickBot="1" x14ac:dyDescent="0.25">
      <c r="A39" s="135" t="s">
        <v>280</v>
      </c>
      <c r="B39" s="136"/>
    </row>
    <row r="40" spans="1:42" x14ac:dyDescent="0.2">
      <c r="A40" s="137" t="s">
        <v>464</v>
      </c>
      <c r="B40" s="138">
        <v>1</v>
      </c>
    </row>
    <row r="41" spans="1:42" x14ac:dyDescent="0.2">
      <c r="A41" s="139" t="s">
        <v>279</v>
      </c>
      <c r="B41" s="140"/>
    </row>
    <row r="42" spans="1:42" x14ac:dyDescent="0.2">
      <c r="A42" s="139" t="s">
        <v>278</v>
      </c>
      <c r="B42" s="141"/>
    </row>
    <row r="43" spans="1:42" x14ac:dyDescent="0.2">
      <c r="A43" s="139" t="s">
        <v>277</v>
      </c>
      <c r="B43" s="141">
        <v>0</v>
      </c>
    </row>
    <row r="44" spans="1:42" x14ac:dyDescent="0.2">
      <c r="A44" s="139" t="s">
        <v>276</v>
      </c>
      <c r="B44" s="141">
        <f>B132</f>
        <v>0.1371</v>
      </c>
    </row>
    <row r="45" spans="1:42" x14ac:dyDescent="0.2">
      <c r="A45" s="139" t="s">
        <v>275</v>
      </c>
      <c r="B45" s="141">
        <f>1-B43</f>
        <v>1</v>
      </c>
    </row>
    <row r="46" spans="1:42" ht="16.5" thickBot="1" x14ac:dyDescent="0.25">
      <c r="A46" s="142" t="s">
        <v>274</v>
      </c>
      <c r="B46" s="143">
        <f>B45*B44+B43*B42*(1-B36)</f>
        <v>0.1371</v>
      </c>
      <c r="C46" s="144"/>
    </row>
    <row r="47" spans="1:42" s="147" customFormat="1" x14ac:dyDescent="0.2">
      <c r="A47" s="145" t="s">
        <v>273</v>
      </c>
      <c r="B47" s="146">
        <f>B58</f>
        <v>1</v>
      </c>
      <c r="C47" s="146">
        <f t="shared" ref="C47:AO47" si="0">C58</f>
        <v>2</v>
      </c>
      <c r="D47" s="146">
        <f t="shared" si="0"/>
        <v>3</v>
      </c>
      <c r="E47" s="146">
        <f t="shared" si="0"/>
        <v>4</v>
      </c>
      <c r="F47" s="146">
        <f t="shared" si="0"/>
        <v>5</v>
      </c>
      <c r="G47" s="146">
        <f t="shared" si="0"/>
        <v>6</v>
      </c>
      <c r="H47" s="146">
        <f t="shared" si="0"/>
        <v>7</v>
      </c>
      <c r="I47" s="146">
        <f t="shared" si="0"/>
        <v>8</v>
      </c>
      <c r="J47" s="146">
        <f t="shared" si="0"/>
        <v>9</v>
      </c>
      <c r="K47" s="146">
        <f t="shared" si="0"/>
        <v>10</v>
      </c>
      <c r="L47" s="146">
        <f t="shared" si="0"/>
        <v>11</v>
      </c>
      <c r="M47" s="146">
        <f t="shared" si="0"/>
        <v>12</v>
      </c>
      <c r="N47" s="146">
        <f t="shared" si="0"/>
        <v>13</v>
      </c>
      <c r="O47" s="146">
        <f t="shared" si="0"/>
        <v>14</v>
      </c>
      <c r="P47" s="146">
        <f t="shared" si="0"/>
        <v>15</v>
      </c>
      <c r="Q47" s="146">
        <f t="shared" si="0"/>
        <v>16</v>
      </c>
      <c r="R47" s="146">
        <f t="shared" si="0"/>
        <v>17</v>
      </c>
      <c r="S47" s="146">
        <f t="shared" si="0"/>
        <v>18</v>
      </c>
      <c r="T47" s="146">
        <f t="shared" si="0"/>
        <v>19</v>
      </c>
      <c r="U47" s="146">
        <f t="shared" si="0"/>
        <v>20</v>
      </c>
      <c r="V47" s="146">
        <f t="shared" si="0"/>
        <v>21</v>
      </c>
      <c r="W47" s="146">
        <f t="shared" si="0"/>
        <v>22</v>
      </c>
      <c r="X47" s="146">
        <f t="shared" si="0"/>
        <v>23</v>
      </c>
      <c r="Y47" s="146">
        <f t="shared" si="0"/>
        <v>24</v>
      </c>
      <c r="Z47" s="146">
        <f t="shared" si="0"/>
        <v>25</v>
      </c>
      <c r="AA47" s="146">
        <f t="shared" si="0"/>
        <v>26</v>
      </c>
      <c r="AB47" s="146">
        <f t="shared" si="0"/>
        <v>27</v>
      </c>
      <c r="AC47" s="146">
        <f t="shared" si="0"/>
        <v>28</v>
      </c>
      <c r="AD47" s="146">
        <f t="shared" si="0"/>
        <v>29</v>
      </c>
      <c r="AE47" s="146">
        <f t="shared" si="0"/>
        <v>30</v>
      </c>
      <c r="AF47" s="146">
        <f t="shared" si="0"/>
        <v>31</v>
      </c>
      <c r="AG47" s="146">
        <f t="shared" si="0"/>
        <v>32</v>
      </c>
      <c r="AH47" s="146">
        <f t="shared" si="0"/>
        <v>33</v>
      </c>
      <c r="AI47" s="146">
        <f t="shared" si="0"/>
        <v>34</v>
      </c>
      <c r="AJ47" s="146">
        <f t="shared" si="0"/>
        <v>35</v>
      </c>
      <c r="AK47" s="146">
        <f t="shared" si="0"/>
        <v>36</v>
      </c>
      <c r="AL47" s="146">
        <f t="shared" si="0"/>
        <v>37</v>
      </c>
      <c r="AM47" s="146">
        <f t="shared" si="0"/>
        <v>38</v>
      </c>
      <c r="AN47" s="146">
        <f t="shared" si="0"/>
        <v>39</v>
      </c>
      <c r="AO47" s="146">
        <f t="shared" si="0"/>
        <v>40</v>
      </c>
      <c r="AP47" s="146">
        <f>AP58</f>
        <v>41</v>
      </c>
    </row>
    <row r="48" spans="1:42" s="147" customFormat="1" x14ac:dyDescent="0.2">
      <c r="A48" s="148" t="s">
        <v>272</v>
      </c>
      <c r="B48" s="198">
        <f>B139</f>
        <v>9.1135032622053413E-2</v>
      </c>
      <c r="C48" s="198">
        <f t="shared" ref="C48:AP48" si="1">C139</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row>
    <row r="49" spans="1:45" s="147" customFormat="1" x14ac:dyDescent="0.2">
      <c r="A49" s="148" t="s">
        <v>271</v>
      </c>
      <c r="B49" s="198">
        <f>B140</f>
        <v>9.1135032622053413E-2</v>
      </c>
      <c r="C49" s="198">
        <f t="shared" ref="C49:AP49" si="2">C140</f>
        <v>0.17642160636778237</v>
      </c>
      <c r="D49" s="198">
        <f t="shared" si="2"/>
        <v>0.23833546225510083</v>
      </c>
      <c r="E49" s="198">
        <f t="shared" si="2"/>
        <v>0.29308100980721452</v>
      </c>
      <c r="F49" s="198">
        <f t="shared" si="2"/>
        <v>0.35024680217031245</v>
      </c>
      <c r="G49" s="198">
        <f t="shared" si="2"/>
        <v>0.40993983589858063</v>
      </c>
      <c r="H49" s="198">
        <f t="shared" si="2"/>
        <v>0.47227183775471748</v>
      </c>
      <c r="I49" s="198">
        <f t="shared" si="2"/>
        <v>0.53735947382762728</v>
      </c>
      <c r="J49" s="198">
        <f t="shared" si="2"/>
        <v>0.605324567894993</v>
      </c>
      <c r="K49" s="198">
        <f t="shared" si="2"/>
        <v>0.67629432943943568</v>
      </c>
      <c r="L49" s="198">
        <f t="shared" si="2"/>
        <v>0.75040159174503551</v>
      </c>
      <c r="M49" s="198">
        <f t="shared" si="2"/>
        <v>0.82778506051985823</v>
      </c>
      <c r="N49" s="198">
        <f t="shared" si="2"/>
        <v>0.90858957350982816</v>
      </c>
      <c r="O49" s="198">
        <f t="shared" si="2"/>
        <v>0.99296637158986734</v>
      </c>
      <c r="P49" s="198">
        <f t="shared" si="2"/>
        <v>1.0810733818396958</v>
      </c>
      <c r="Q49" s="198">
        <f t="shared" si="2"/>
        <v>1.1730755131341262</v>
      </c>
      <c r="R49" s="198">
        <f t="shared" si="2"/>
        <v>1.2691449648011015</v>
      </c>
      <c r="S49" s="198">
        <f t="shared" si="2"/>
        <v>1.3694615489251918</v>
      </c>
      <c r="T49" s="198">
        <f t="shared" si="2"/>
        <v>1.4742130268997977</v>
      </c>
      <c r="U49" s="198">
        <f t="shared" si="2"/>
        <v>1.5835954608579867</v>
      </c>
      <c r="V49" s="198">
        <f t="shared" si="2"/>
        <v>1.6978135806397239</v>
      </c>
      <c r="W49" s="198">
        <f t="shared" si="2"/>
        <v>1.8170811669823532</v>
      </c>
      <c r="X49" s="198">
        <f t="shared" si="2"/>
        <v>1.9416214516515375</v>
      </c>
      <c r="Y49" s="198">
        <f t="shared" si="2"/>
        <v>2.0716675352615797</v>
      </c>
      <c r="Z49" s="198">
        <f t="shared" si="2"/>
        <v>2.2074628235671527</v>
      </c>
      <c r="AA49" s="198">
        <f t="shared" si="2"/>
        <v>2.3492614830430445</v>
      </c>
      <c r="AB49" s="198">
        <f t="shared" si="2"/>
        <v>2.4973289166046162</v>
      </c>
      <c r="AC49" s="198">
        <f t="shared" si="2"/>
        <v>2.6519422603593781</v>
      </c>
      <c r="AD49" s="198">
        <f t="shared" si="2"/>
        <v>2.813390902319445</v>
      </c>
      <c r="AE49" s="198">
        <f t="shared" si="2"/>
        <v>2.9819770240457402</v>
      </c>
      <c r="AF49" s="198">
        <f t="shared" si="2"/>
        <v>3.1580161662377391</v>
      </c>
      <c r="AG49" s="198">
        <f t="shared" si="2"/>
        <v>3.3418378193273544</v>
      </c>
      <c r="AH49" s="198">
        <f t="shared" si="2"/>
        <v>3.5337860401823793</v>
      </c>
      <c r="AI49" s="198">
        <f t="shared" si="2"/>
        <v>3.7342200960737566</v>
      </c>
      <c r="AJ49" s="198">
        <f t="shared" si="2"/>
        <v>3.9435151371119872</v>
      </c>
      <c r="AK49" s="198">
        <f t="shared" si="2"/>
        <v>4.1620628984112642</v>
      </c>
      <c r="AL49" s="198">
        <f t="shared" si="2"/>
        <v>4.3902724332955678</v>
      </c>
      <c r="AM49" s="198">
        <f t="shared" si="2"/>
        <v>4.6285708789190521</v>
      </c>
      <c r="AN49" s="198">
        <f t="shared" si="2"/>
        <v>4.8774042557337323</v>
      </c>
      <c r="AO49" s="198">
        <f t="shared" si="2"/>
        <v>5.1372383023008181</v>
      </c>
      <c r="AP49" s="198">
        <f t="shared" si="2"/>
        <v>5.4085593470082083</v>
      </c>
    </row>
    <row r="50" spans="1:45" s="147" customFormat="1" ht="16.5" thickBot="1" x14ac:dyDescent="0.25">
      <c r="A50" s="149" t="s">
        <v>465</v>
      </c>
      <c r="B50" s="150">
        <f>IF($B$127="да",($B$129-0.05),0)</f>
        <v>0</v>
      </c>
      <c r="C50" s="150">
        <f>C108*(1+C49)</f>
        <v>0</v>
      </c>
      <c r="D50" s="150">
        <f t="shared" ref="D50:AP50" si="3">D108*(1+D49)</f>
        <v>0</v>
      </c>
      <c r="E50" s="150">
        <f t="shared" si="3"/>
        <v>0</v>
      </c>
      <c r="F50" s="150">
        <f t="shared" si="3"/>
        <v>0</v>
      </c>
      <c r="G50" s="150">
        <f t="shared" si="3"/>
        <v>0</v>
      </c>
      <c r="H50" s="150">
        <f t="shared" si="3"/>
        <v>0</v>
      </c>
      <c r="I50" s="150">
        <f t="shared" si="3"/>
        <v>0</v>
      </c>
      <c r="J50" s="150">
        <f t="shared" si="3"/>
        <v>0</v>
      </c>
      <c r="K50" s="150">
        <f t="shared" si="3"/>
        <v>0</v>
      </c>
      <c r="L50" s="150">
        <f t="shared" si="3"/>
        <v>0</v>
      </c>
      <c r="M50" s="150">
        <f t="shared" si="3"/>
        <v>0</v>
      </c>
      <c r="N50" s="150">
        <f t="shared" si="3"/>
        <v>0</v>
      </c>
      <c r="O50" s="150">
        <f t="shared" si="3"/>
        <v>0</v>
      </c>
      <c r="P50" s="150">
        <f t="shared" si="3"/>
        <v>0</v>
      </c>
      <c r="Q50" s="150">
        <f t="shared" si="3"/>
        <v>0</v>
      </c>
      <c r="R50" s="150">
        <f t="shared" si="3"/>
        <v>0</v>
      </c>
      <c r="S50" s="150">
        <f t="shared" si="3"/>
        <v>0</v>
      </c>
      <c r="T50" s="150">
        <f t="shared" si="3"/>
        <v>0</v>
      </c>
      <c r="U50" s="150">
        <f t="shared" si="3"/>
        <v>0</v>
      </c>
      <c r="V50" s="150">
        <f t="shared" si="3"/>
        <v>0</v>
      </c>
      <c r="W50" s="150">
        <f t="shared" si="3"/>
        <v>0</v>
      </c>
      <c r="X50" s="150">
        <f t="shared" si="3"/>
        <v>0</v>
      </c>
      <c r="Y50" s="150">
        <f t="shared" si="3"/>
        <v>0</v>
      </c>
      <c r="Z50" s="150">
        <f t="shared" si="3"/>
        <v>0</v>
      </c>
      <c r="AA50" s="150">
        <f t="shared" si="3"/>
        <v>0</v>
      </c>
      <c r="AB50" s="150">
        <f t="shared" si="3"/>
        <v>0</v>
      </c>
      <c r="AC50" s="150">
        <f t="shared" si="3"/>
        <v>0</v>
      </c>
      <c r="AD50" s="150">
        <f t="shared" si="3"/>
        <v>0</v>
      </c>
      <c r="AE50" s="150">
        <f t="shared" si="3"/>
        <v>0</v>
      </c>
      <c r="AF50" s="150">
        <f t="shared" si="3"/>
        <v>0</v>
      </c>
      <c r="AG50" s="150">
        <f t="shared" si="3"/>
        <v>0</v>
      </c>
      <c r="AH50" s="150">
        <f t="shared" si="3"/>
        <v>0</v>
      </c>
      <c r="AI50" s="150">
        <f t="shared" si="3"/>
        <v>0</v>
      </c>
      <c r="AJ50" s="150">
        <f t="shared" si="3"/>
        <v>0</v>
      </c>
      <c r="AK50" s="150">
        <f t="shared" si="3"/>
        <v>0</v>
      </c>
      <c r="AL50" s="150">
        <f t="shared" si="3"/>
        <v>0</v>
      </c>
      <c r="AM50" s="150">
        <f t="shared" si="3"/>
        <v>0</v>
      </c>
      <c r="AN50" s="150">
        <f t="shared" si="3"/>
        <v>0</v>
      </c>
      <c r="AO50" s="150">
        <f t="shared" si="3"/>
        <v>0</v>
      </c>
      <c r="AP50" s="150">
        <f t="shared" si="3"/>
        <v>0</v>
      </c>
    </row>
    <row r="51" spans="1:45" ht="16.5" thickBot="1" x14ac:dyDescent="0.25"/>
    <row r="52" spans="1:45" x14ac:dyDescent="0.2">
      <c r="A52" s="151" t="s">
        <v>270</v>
      </c>
      <c r="B52" s="152">
        <f>B58</f>
        <v>1</v>
      </c>
      <c r="C52" s="152">
        <f t="shared" ref="C52:AO52" si="4">C58</f>
        <v>2</v>
      </c>
      <c r="D52" s="152">
        <f t="shared" si="4"/>
        <v>3</v>
      </c>
      <c r="E52" s="152">
        <f t="shared" si="4"/>
        <v>4</v>
      </c>
      <c r="F52" s="152">
        <f t="shared" si="4"/>
        <v>5</v>
      </c>
      <c r="G52" s="152">
        <f t="shared" si="4"/>
        <v>6</v>
      </c>
      <c r="H52" s="152">
        <f t="shared" si="4"/>
        <v>7</v>
      </c>
      <c r="I52" s="152">
        <f t="shared" si="4"/>
        <v>8</v>
      </c>
      <c r="J52" s="152">
        <f t="shared" si="4"/>
        <v>9</v>
      </c>
      <c r="K52" s="152">
        <f t="shared" si="4"/>
        <v>10</v>
      </c>
      <c r="L52" s="152">
        <f t="shared" si="4"/>
        <v>11</v>
      </c>
      <c r="M52" s="152">
        <f t="shared" si="4"/>
        <v>12</v>
      </c>
      <c r="N52" s="152">
        <f t="shared" si="4"/>
        <v>13</v>
      </c>
      <c r="O52" s="152">
        <f t="shared" si="4"/>
        <v>14</v>
      </c>
      <c r="P52" s="152">
        <f t="shared" si="4"/>
        <v>15</v>
      </c>
      <c r="Q52" s="152">
        <f t="shared" si="4"/>
        <v>16</v>
      </c>
      <c r="R52" s="152">
        <f t="shared" si="4"/>
        <v>17</v>
      </c>
      <c r="S52" s="152">
        <f t="shared" si="4"/>
        <v>18</v>
      </c>
      <c r="T52" s="152">
        <f t="shared" si="4"/>
        <v>19</v>
      </c>
      <c r="U52" s="152">
        <f t="shared" si="4"/>
        <v>20</v>
      </c>
      <c r="V52" s="152">
        <f t="shared" si="4"/>
        <v>21</v>
      </c>
      <c r="W52" s="152">
        <f t="shared" si="4"/>
        <v>22</v>
      </c>
      <c r="X52" s="152">
        <f t="shared" si="4"/>
        <v>23</v>
      </c>
      <c r="Y52" s="152">
        <f t="shared" si="4"/>
        <v>24</v>
      </c>
      <c r="Z52" s="152">
        <f t="shared" si="4"/>
        <v>25</v>
      </c>
      <c r="AA52" s="152">
        <f t="shared" si="4"/>
        <v>26</v>
      </c>
      <c r="AB52" s="152">
        <f t="shared" si="4"/>
        <v>27</v>
      </c>
      <c r="AC52" s="152">
        <f t="shared" si="4"/>
        <v>28</v>
      </c>
      <c r="AD52" s="152">
        <f t="shared" si="4"/>
        <v>29</v>
      </c>
      <c r="AE52" s="152">
        <f t="shared" si="4"/>
        <v>30</v>
      </c>
      <c r="AF52" s="152">
        <f t="shared" si="4"/>
        <v>31</v>
      </c>
      <c r="AG52" s="152">
        <f t="shared" si="4"/>
        <v>32</v>
      </c>
      <c r="AH52" s="152">
        <f t="shared" si="4"/>
        <v>33</v>
      </c>
      <c r="AI52" s="152">
        <f t="shared" si="4"/>
        <v>34</v>
      </c>
      <c r="AJ52" s="152">
        <f t="shared" si="4"/>
        <v>35</v>
      </c>
      <c r="AK52" s="152">
        <f t="shared" si="4"/>
        <v>36</v>
      </c>
      <c r="AL52" s="152">
        <f t="shared" si="4"/>
        <v>37</v>
      </c>
      <c r="AM52" s="152">
        <f t="shared" si="4"/>
        <v>38</v>
      </c>
      <c r="AN52" s="152">
        <f t="shared" si="4"/>
        <v>39</v>
      </c>
      <c r="AO52" s="152">
        <f t="shared" si="4"/>
        <v>40</v>
      </c>
      <c r="AP52" s="152">
        <f>AP58</f>
        <v>41</v>
      </c>
    </row>
    <row r="53" spans="1:45" x14ac:dyDescent="0.2">
      <c r="A53" s="153"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5" x14ac:dyDescent="0.2">
      <c r="A54" s="153"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3"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5" ht="16.5" thickBot="1" x14ac:dyDescent="0.25">
      <c r="A56" s="154" t="s">
        <v>266</v>
      </c>
      <c r="B56" s="155">
        <f t="shared" ref="B56:AP56" si="7">AVERAGE(SUM(B53:B54),(SUM(B53:B54)-B55))*$B$42</f>
        <v>0</v>
      </c>
      <c r="C56" s="155">
        <f t="shared" si="7"/>
        <v>0</v>
      </c>
      <c r="D56" s="155">
        <f t="shared" si="7"/>
        <v>0</v>
      </c>
      <c r="E56" s="155">
        <f t="shared" si="7"/>
        <v>0</v>
      </c>
      <c r="F56" s="155">
        <f t="shared" si="7"/>
        <v>0</v>
      </c>
      <c r="G56" s="155">
        <f t="shared" si="7"/>
        <v>0</v>
      </c>
      <c r="H56" s="155">
        <f t="shared" si="7"/>
        <v>0</v>
      </c>
      <c r="I56" s="155">
        <f t="shared" si="7"/>
        <v>0</v>
      </c>
      <c r="J56" s="155">
        <f t="shared" si="7"/>
        <v>0</v>
      </c>
      <c r="K56" s="155">
        <f t="shared" si="7"/>
        <v>0</v>
      </c>
      <c r="L56" s="155">
        <f t="shared" si="7"/>
        <v>0</v>
      </c>
      <c r="M56" s="155">
        <f t="shared" si="7"/>
        <v>0</v>
      </c>
      <c r="N56" s="155">
        <f t="shared" si="7"/>
        <v>0</v>
      </c>
      <c r="O56" s="155">
        <f t="shared" si="7"/>
        <v>0</v>
      </c>
      <c r="P56" s="155">
        <f t="shared" si="7"/>
        <v>0</v>
      </c>
      <c r="Q56" s="155">
        <f t="shared" si="7"/>
        <v>0</v>
      </c>
      <c r="R56" s="155">
        <f t="shared" si="7"/>
        <v>0</v>
      </c>
      <c r="S56" s="155">
        <f t="shared" si="7"/>
        <v>0</v>
      </c>
      <c r="T56" s="155">
        <f t="shared" si="7"/>
        <v>0</v>
      </c>
      <c r="U56" s="155">
        <f t="shared" si="7"/>
        <v>0</v>
      </c>
      <c r="V56" s="155">
        <f t="shared" si="7"/>
        <v>0</v>
      </c>
      <c r="W56" s="155">
        <f t="shared" si="7"/>
        <v>0</v>
      </c>
      <c r="X56" s="155">
        <f t="shared" si="7"/>
        <v>0</v>
      </c>
      <c r="Y56" s="155">
        <f t="shared" si="7"/>
        <v>0</v>
      </c>
      <c r="Z56" s="155">
        <f t="shared" si="7"/>
        <v>0</v>
      </c>
      <c r="AA56" s="155">
        <f t="shared" si="7"/>
        <v>0</v>
      </c>
      <c r="AB56" s="155">
        <f t="shared" si="7"/>
        <v>0</v>
      </c>
      <c r="AC56" s="155">
        <f t="shared" si="7"/>
        <v>0</v>
      </c>
      <c r="AD56" s="155">
        <f t="shared" si="7"/>
        <v>0</v>
      </c>
      <c r="AE56" s="155">
        <f t="shared" si="7"/>
        <v>0</v>
      </c>
      <c r="AF56" s="155">
        <f t="shared" si="7"/>
        <v>0</v>
      </c>
      <c r="AG56" s="155">
        <f t="shared" si="7"/>
        <v>0</v>
      </c>
      <c r="AH56" s="155">
        <f t="shared" si="7"/>
        <v>0</v>
      </c>
      <c r="AI56" s="155">
        <f t="shared" si="7"/>
        <v>0</v>
      </c>
      <c r="AJ56" s="155">
        <f t="shared" si="7"/>
        <v>0</v>
      </c>
      <c r="AK56" s="155">
        <f t="shared" si="7"/>
        <v>0</v>
      </c>
      <c r="AL56" s="155">
        <f t="shared" si="7"/>
        <v>0</v>
      </c>
      <c r="AM56" s="155">
        <f t="shared" si="7"/>
        <v>0</v>
      </c>
      <c r="AN56" s="155">
        <f t="shared" si="7"/>
        <v>0</v>
      </c>
      <c r="AO56" s="155">
        <f t="shared" si="7"/>
        <v>0</v>
      </c>
      <c r="AP56" s="155">
        <f t="shared" si="7"/>
        <v>0</v>
      </c>
    </row>
    <row r="57" spans="1:45" s="158" customFormat="1" ht="16.5" thickBot="1" x14ac:dyDescent="0.25">
      <c r="A57" s="156"/>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c r="AN57" s="157"/>
      <c r="AO57" s="157"/>
      <c r="AP57" s="157"/>
      <c r="AQ57" s="107"/>
      <c r="AR57" s="107"/>
      <c r="AS57" s="107"/>
    </row>
    <row r="58" spans="1:45" x14ac:dyDescent="0.2">
      <c r="A58" s="151" t="s">
        <v>466</v>
      </c>
      <c r="B58" s="152">
        <v>1</v>
      </c>
      <c r="C58" s="152">
        <f>B58+1</f>
        <v>2</v>
      </c>
      <c r="D58" s="152">
        <f t="shared" ref="D58:AP58" si="8">C58+1</f>
        <v>3</v>
      </c>
      <c r="E58" s="152">
        <f t="shared" si="8"/>
        <v>4</v>
      </c>
      <c r="F58" s="152">
        <f t="shared" si="8"/>
        <v>5</v>
      </c>
      <c r="G58" s="152">
        <f t="shared" si="8"/>
        <v>6</v>
      </c>
      <c r="H58" s="152">
        <f t="shared" si="8"/>
        <v>7</v>
      </c>
      <c r="I58" s="152">
        <f t="shared" si="8"/>
        <v>8</v>
      </c>
      <c r="J58" s="152">
        <f t="shared" si="8"/>
        <v>9</v>
      </c>
      <c r="K58" s="152">
        <f t="shared" si="8"/>
        <v>10</v>
      </c>
      <c r="L58" s="152">
        <f t="shared" si="8"/>
        <v>11</v>
      </c>
      <c r="M58" s="152">
        <f t="shared" si="8"/>
        <v>12</v>
      </c>
      <c r="N58" s="152">
        <f t="shared" si="8"/>
        <v>13</v>
      </c>
      <c r="O58" s="152">
        <f t="shared" si="8"/>
        <v>14</v>
      </c>
      <c r="P58" s="152">
        <f t="shared" si="8"/>
        <v>15</v>
      </c>
      <c r="Q58" s="152">
        <f t="shared" si="8"/>
        <v>16</v>
      </c>
      <c r="R58" s="152">
        <f t="shared" si="8"/>
        <v>17</v>
      </c>
      <c r="S58" s="152">
        <f t="shared" si="8"/>
        <v>18</v>
      </c>
      <c r="T58" s="152">
        <f t="shared" si="8"/>
        <v>19</v>
      </c>
      <c r="U58" s="152">
        <f t="shared" si="8"/>
        <v>20</v>
      </c>
      <c r="V58" s="152">
        <f t="shared" si="8"/>
        <v>21</v>
      </c>
      <c r="W58" s="152">
        <f t="shared" si="8"/>
        <v>22</v>
      </c>
      <c r="X58" s="152">
        <f t="shared" si="8"/>
        <v>23</v>
      </c>
      <c r="Y58" s="152">
        <f t="shared" si="8"/>
        <v>24</v>
      </c>
      <c r="Z58" s="152">
        <f t="shared" si="8"/>
        <v>25</v>
      </c>
      <c r="AA58" s="152">
        <f t="shared" si="8"/>
        <v>26</v>
      </c>
      <c r="AB58" s="152">
        <f t="shared" si="8"/>
        <v>27</v>
      </c>
      <c r="AC58" s="152">
        <f t="shared" si="8"/>
        <v>28</v>
      </c>
      <c r="AD58" s="152">
        <f t="shared" si="8"/>
        <v>29</v>
      </c>
      <c r="AE58" s="152">
        <f t="shared" si="8"/>
        <v>30</v>
      </c>
      <c r="AF58" s="152">
        <f t="shared" si="8"/>
        <v>31</v>
      </c>
      <c r="AG58" s="152">
        <f t="shared" si="8"/>
        <v>32</v>
      </c>
      <c r="AH58" s="152">
        <f t="shared" si="8"/>
        <v>33</v>
      </c>
      <c r="AI58" s="152">
        <f t="shared" si="8"/>
        <v>34</v>
      </c>
      <c r="AJ58" s="152">
        <f t="shared" si="8"/>
        <v>35</v>
      </c>
      <c r="AK58" s="152">
        <f t="shared" si="8"/>
        <v>36</v>
      </c>
      <c r="AL58" s="152">
        <f t="shared" si="8"/>
        <v>37</v>
      </c>
      <c r="AM58" s="152">
        <f t="shared" si="8"/>
        <v>38</v>
      </c>
      <c r="AN58" s="152">
        <f t="shared" si="8"/>
        <v>39</v>
      </c>
      <c r="AO58" s="152">
        <f t="shared" si="8"/>
        <v>40</v>
      </c>
      <c r="AP58" s="152">
        <f t="shared" si="8"/>
        <v>41</v>
      </c>
    </row>
    <row r="59" spans="1:45" ht="14.25" x14ac:dyDescent="0.2">
      <c r="A59" s="159" t="s">
        <v>265</v>
      </c>
      <c r="B59" s="200">
        <f t="shared" ref="B59:AP59" si="9">B50*$B$28</f>
        <v>0</v>
      </c>
      <c r="C59" s="200">
        <f t="shared" si="9"/>
        <v>0</v>
      </c>
      <c r="D59" s="200">
        <f t="shared" si="9"/>
        <v>0</v>
      </c>
      <c r="E59" s="200">
        <f t="shared" si="9"/>
        <v>0</v>
      </c>
      <c r="F59" s="200">
        <f t="shared" si="9"/>
        <v>0</v>
      </c>
      <c r="G59" s="200">
        <f t="shared" si="9"/>
        <v>0</v>
      </c>
      <c r="H59" s="200">
        <f t="shared" si="9"/>
        <v>0</v>
      </c>
      <c r="I59" s="200">
        <f t="shared" si="9"/>
        <v>0</v>
      </c>
      <c r="J59" s="200">
        <f t="shared" si="9"/>
        <v>0</v>
      </c>
      <c r="K59" s="200">
        <f t="shared" si="9"/>
        <v>0</v>
      </c>
      <c r="L59" s="200">
        <f t="shared" si="9"/>
        <v>0</v>
      </c>
      <c r="M59" s="200">
        <f t="shared" si="9"/>
        <v>0</v>
      </c>
      <c r="N59" s="200">
        <f t="shared" si="9"/>
        <v>0</v>
      </c>
      <c r="O59" s="200">
        <f t="shared" si="9"/>
        <v>0</v>
      </c>
      <c r="P59" s="200">
        <f t="shared" si="9"/>
        <v>0</v>
      </c>
      <c r="Q59" s="200">
        <f t="shared" si="9"/>
        <v>0</v>
      </c>
      <c r="R59" s="200">
        <f t="shared" si="9"/>
        <v>0</v>
      </c>
      <c r="S59" s="200">
        <f t="shared" si="9"/>
        <v>0</v>
      </c>
      <c r="T59" s="200">
        <f t="shared" si="9"/>
        <v>0</v>
      </c>
      <c r="U59" s="200">
        <f t="shared" si="9"/>
        <v>0</v>
      </c>
      <c r="V59" s="200">
        <f t="shared" si="9"/>
        <v>0</v>
      </c>
      <c r="W59" s="200">
        <f t="shared" si="9"/>
        <v>0</v>
      </c>
      <c r="X59" s="200">
        <f t="shared" si="9"/>
        <v>0</v>
      </c>
      <c r="Y59" s="200">
        <f t="shared" si="9"/>
        <v>0</v>
      </c>
      <c r="Z59" s="200">
        <f t="shared" si="9"/>
        <v>0</v>
      </c>
      <c r="AA59" s="200">
        <f t="shared" si="9"/>
        <v>0</v>
      </c>
      <c r="AB59" s="200">
        <f t="shared" si="9"/>
        <v>0</v>
      </c>
      <c r="AC59" s="200">
        <f t="shared" si="9"/>
        <v>0</v>
      </c>
      <c r="AD59" s="200">
        <f t="shared" si="9"/>
        <v>0</v>
      </c>
      <c r="AE59" s="200">
        <f t="shared" si="9"/>
        <v>0</v>
      </c>
      <c r="AF59" s="200">
        <f t="shared" si="9"/>
        <v>0</v>
      </c>
      <c r="AG59" s="200">
        <f t="shared" si="9"/>
        <v>0</v>
      </c>
      <c r="AH59" s="200">
        <f t="shared" si="9"/>
        <v>0</v>
      </c>
      <c r="AI59" s="200">
        <f t="shared" si="9"/>
        <v>0</v>
      </c>
      <c r="AJ59" s="200">
        <f t="shared" si="9"/>
        <v>0</v>
      </c>
      <c r="AK59" s="200">
        <f t="shared" si="9"/>
        <v>0</v>
      </c>
      <c r="AL59" s="200">
        <f t="shared" si="9"/>
        <v>0</v>
      </c>
      <c r="AM59" s="200">
        <f t="shared" si="9"/>
        <v>0</v>
      </c>
      <c r="AN59" s="200">
        <f t="shared" si="9"/>
        <v>0</v>
      </c>
      <c r="AO59" s="200">
        <f t="shared" si="9"/>
        <v>0</v>
      </c>
      <c r="AP59" s="200">
        <f t="shared" si="9"/>
        <v>0</v>
      </c>
    </row>
    <row r="60" spans="1:45" x14ac:dyDescent="0.2">
      <c r="A60" s="153" t="s">
        <v>264</v>
      </c>
      <c r="B60" s="199">
        <f t="shared" ref="B60:Z60" si="10">SUM(B61:B65)</f>
        <v>0</v>
      </c>
      <c r="C60" s="199">
        <f t="shared" si="10"/>
        <v>0</v>
      </c>
      <c r="D60" s="199">
        <f>SUM(D61:D65)</f>
        <v>0</v>
      </c>
      <c r="E60" s="199">
        <f t="shared" si="10"/>
        <v>0</v>
      </c>
      <c r="F60" s="199">
        <f t="shared" si="10"/>
        <v>0</v>
      </c>
      <c r="G60" s="199">
        <f t="shared" si="10"/>
        <v>0</v>
      </c>
      <c r="H60" s="199">
        <f t="shared" si="10"/>
        <v>-166840.85309463786</v>
      </c>
      <c r="I60" s="199">
        <f t="shared" si="10"/>
        <v>0</v>
      </c>
      <c r="J60" s="199">
        <f t="shared" si="10"/>
        <v>0</v>
      </c>
      <c r="K60" s="199">
        <f t="shared" si="10"/>
        <v>0</v>
      </c>
      <c r="L60" s="199">
        <f t="shared" si="10"/>
        <v>0</v>
      </c>
      <c r="M60" s="199">
        <f t="shared" si="10"/>
        <v>0</v>
      </c>
      <c r="N60" s="199">
        <f t="shared" si="10"/>
        <v>-216285.27048206824</v>
      </c>
      <c r="O60" s="199">
        <f t="shared" si="10"/>
        <v>0</v>
      </c>
      <c r="P60" s="199">
        <f t="shared" si="10"/>
        <v>0</v>
      </c>
      <c r="Q60" s="199">
        <f t="shared" si="10"/>
        <v>0</v>
      </c>
      <c r="R60" s="199">
        <f t="shared" si="10"/>
        <v>0</v>
      </c>
      <c r="S60" s="199">
        <f t="shared" si="10"/>
        <v>0</v>
      </c>
      <c r="T60" s="199">
        <f t="shared" si="10"/>
        <v>-280382.87601518421</v>
      </c>
      <c r="U60" s="199">
        <f t="shared" si="10"/>
        <v>0</v>
      </c>
      <c r="V60" s="199">
        <f t="shared" si="10"/>
        <v>0</v>
      </c>
      <c r="W60" s="199">
        <f t="shared" si="10"/>
        <v>0</v>
      </c>
      <c r="X60" s="199">
        <f t="shared" si="10"/>
        <v>0</v>
      </c>
      <c r="Y60" s="199">
        <f t="shared" si="10"/>
        <v>0</v>
      </c>
      <c r="Z60" s="199">
        <f t="shared" si="10"/>
        <v>-363476.24129616341</v>
      </c>
      <c r="AA60" s="199">
        <f t="shared" ref="AA60:AP60" si="11">SUM(AA61:AA65)</f>
        <v>0</v>
      </c>
      <c r="AB60" s="199">
        <f t="shared" si="11"/>
        <v>0</v>
      </c>
      <c r="AC60" s="199">
        <f t="shared" si="11"/>
        <v>0</v>
      </c>
      <c r="AD60" s="199">
        <f t="shared" si="11"/>
        <v>0</v>
      </c>
      <c r="AE60" s="199">
        <f t="shared" si="11"/>
        <v>0</v>
      </c>
      <c r="AF60" s="199">
        <f t="shared" si="11"/>
        <v>-471194.88844829466</v>
      </c>
      <c r="AG60" s="199">
        <f t="shared" si="11"/>
        <v>0</v>
      </c>
      <c r="AH60" s="199">
        <f t="shared" si="11"/>
        <v>0</v>
      </c>
      <c r="AI60" s="199">
        <f t="shared" si="11"/>
        <v>0</v>
      </c>
      <c r="AJ60" s="199">
        <f t="shared" si="11"/>
        <v>0</v>
      </c>
      <c r="AK60" s="199">
        <f t="shared" si="11"/>
        <v>0</v>
      </c>
      <c r="AL60" s="199">
        <f t="shared" si="11"/>
        <v>-610836.68662374397</v>
      </c>
      <c r="AM60" s="199">
        <f t="shared" si="11"/>
        <v>0</v>
      </c>
      <c r="AN60" s="199">
        <f t="shared" si="11"/>
        <v>0</v>
      </c>
      <c r="AO60" s="199">
        <f t="shared" si="11"/>
        <v>0</v>
      </c>
      <c r="AP60" s="199">
        <f t="shared" si="11"/>
        <v>0</v>
      </c>
    </row>
    <row r="61" spans="1:45" x14ac:dyDescent="0.2">
      <c r="A61" s="160" t="s">
        <v>263</v>
      </c>
      <c r="B61" s="199"/>
      <c r="C61" s="199">
        <f>-IF(C$47&lt;=$B$30,0,$B$29*(1+C$49)*$B$28)</f>
        <v>0</v>
      </c>
      <c r="D61" s="199">
        <f>-IF(D$47&lt;=$B$30,0,$B$29*(1+D$49)*$B$28)</f>
        <v>0</v>
      </c>
      <c r="E61" s="199">
        <f t="shared" ref="E61:AL61" si="12">-IF(E$47&lt;=$B$30,0,$B$29*(1+E$49)*$B$28)</f>
        <v>0</v>
      </c>
      <c r="F61" s="199">
        <f t="shared" si="12"/>
        <v>0</v>
      </c>
      <c r="G61" s="199">
        <f t="shared" si="12"/>
        <v>0</v>
      </c>
      <c r="H61" s="199">
        <f t="shared" si="12"/>
        <v>-166840.85309463786</v>
      </c>
      <c r="I61" s="199"/>
      <c r="J61" s="199"/>
      <c r="K61" s="199"/>
      <c r="L61" s="199"/>
      <c r="M61" s="199"/>
      <c r="N61" s="199">
        <f t="shared" si="12"/>
        <v>-216285.27048206824</v>
      </c>
      <c r="O61" s="199"/>
      <c r="P61" s="199"/>
      <c r="Q61" s="199"/>
      <c r="R61" s="199"/>
      <c r="S61" s="199"/>
      <c r="T61" s="199">
        <f t="shared" si="12"/>
        <v>-280382.87601518421</v>
      </c>
      <c r="U61" s="199"/>
      <c r="V61" s="199"/>
      <c r="W61" s="199"/>
      <c r="X61" s="199"/>
      <c r="Y61" s="199"/>
      <c r="Z61" s="199">
        <f t="shared" si="12"/>
        <v>-363476.24129616341</v>
      </c>
      <c r="AA61" s="199"/>
      <c r="AB61" s="199"/>
      <c r="AC61" s="199"/>
      <c r="AD61" s="199"/>
      <c r="AE61" s="199"/>
      <c r="AF61" s="199">
        <f t="shared" si="12"/>
        <v>-471194.88844829466</v>
      </c>
      <c r="AG61" s="199"/>
      <c r="AH61" s="199"/>
      <c r="AI61" s="199"/>
      <c r="AJ61" s="199"/>
      <c r="AK61" s="199"/>
      <c r="AL61" s="199">
        <f t="shared" si="12"/>
        <v>-610836.68662374397</v>
      </c>
      <c r="AM61" s="199"/>
      <c r="AN61" s="199"/>
      <c r="AO61" s="199"/>
      <c r="AP61" s="199"/>
    </row>
    <row r="62" spans="1:45" x14ac:dyDescent="0.2">
      <c r="A62" s="160"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0" t="s">
        <v>463</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0" t="s">
        <v>463</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0" t="s">
        <v>467</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1" t="s">
        <v>261</v>
      </c>
      <c r="B66" s="200">
        <f t="shared" ref="B66:AO66" si="13">B59+B60</f>
        <v>0</v>
      </c>
      <c r="C66" s="200">
        <f t="shared" si="13"/>
        <v>0</v>
      </c>
      <c r="D66" s="200">
        <f t="shared" si="13"/>
        <v>0</v>
      </c>
      <c r="E66" s="200">
        <f t="shared" si="13"/>
        <v>0</v>
      </c>
      <c r="F66" s="200">
        <f t="shared" si="13"/>
        <v>0</v>
      </c>
      <c r="G66" s="200">
        <f t="shared" si="13"/>
        <v>0</v>
      </c>
      <c r="H66" s="200">
        <f t="shared" si="13"/>
        <v>-166840.85309463786</v>
      </c>
      <c r="I66" s="200">
        <f t="shared" si="13"/>
        <v>0</v>
      </c>
      <c r="J66" s="200">
        <f t="shared" si="13"/>
        <v>0</v>
      </c>
      <c r="K66" s="200">
        <f t="shared" si="13"/>
        <v>0</v>
      </c>
      <c r="L66" s="200">
        <f t="shared" si="13"/>
        <v>0</v>
      </c>
      <c r="M66" s="200">
        <f t="shared" si="13"/>
        <v>0</v>
      </c>
      <c r="N66" s="200">
        <f t="shared" si="13"/>
        <v>-216285.27048206824</v>
      </c>
      <c r="O66" s="200">
        <f t="shared" si="13"/>
        <v>0</v>
      </c>
      <c r="P66" s="200">
        <f t="shared" si="13"/>
        <v>0</v>
      </c>
      <c r="Q66" s="200">
        <f t="shared" si="13"/>
        <v>0</v>
      </c>
      <c r="R66" s="200">
        <f t="shared" si="13"/>
        <v>0</v>
      </c>
      <c r="S66" s="200">
        <f t="shared" si="13"/>
        <v>0</v>
      </c>
      <c r="T66" s="200">
        <f t="shared" si="13"/>
        <v>-280382.87601518421</v>
      </c>
      <c r="U66" s="200">
        <f t="shared" si="13"/>
        <v>0</v>
      </c>
      <c r="V66" s="200">
        <f t="shared" si="13"/>
        <v>0</v>
      </c>
      <c r="W66" s="200">
        <f t="shared" si="13"/>
        <v>0</v>
      </c>
      <c r="X66" s="200">
        <f t="shared" si="13"/>
        <v>0</v>
      </c>
      <c r="Y66" s="200">
        <f t="shared" si="13"/>
        <v>0</v>
      </c>
      <c r="Z66" s="200">
        <f t="shared" si="13"/>
        <v>-363476.24129616341</v>
      </c>
      <c r="AA66" s="200">
        <f t="shared" si="13"/>
        <v>0</v>
      </c>
      <c r="AB66" s="200">
        <f t="shared" si="13"/>
        <v>0</v>
      </c>
      <c r="AC66" s="200">
        <f t="shared" si="13"/>
        <v>0</v>
      </c>
      <c r="AD66" s="200">
        <f t="shared" si="13"/>
        <v>0</v>
      </c>
      <c r="AE66" s="200">
        <f t="shared" si="13"/>
        <v>0</v>
      </c>
      <c r="AF66" s="200">
        <f t="shared" si="13"/>
        <v>-471194.88844829466</v>
      </c>
      <c r="AG66" s="200">
        <f t="shared" si="13"/>
        <v>0</v>
      </c>
      <c r="AH66" s="200">
        <f t="shared" si="13"/>
        <v>0</v>
      </c>
      <c r="AI66" s="200">
        <f t="shared" si="13"/>
        <v>0</v>
      </c>
      <c r="AJ66" s="200">
        <f t="shared" si="13"/>
        <v>0</v>
      </c>
      <c r="AK66" s="200">
        <f t="shared" si="13"/>
        <v>0</v>
      </c>
      <c r="AL66" s="200">
        <f t="shared" si="13"/>
        <v>-610836.68662374397</v>
      </c>
      <c r="AM66" s="200">
        <f t="shared" si="13"/>
        <v>0</v>
      </c>
      <c r="AN66" s="200">
        <f t="shared" si="13"/>
        <v>0</v>
      </c>
      <c r="AO66" s="200">
        <f t="shared" si="13"/>
        <v>0</v>
      </c>
      <c r="AP66" s="200">
        <f>AP59+AP60</f>
        <v>0</v>
      </c>
    </row>
    <row r="67" spans="1:45" x14ac:dyDescent="0.2">
      <c r="A67" s="160" t="s">
        <v>256</v>
      </c>
      <c r="B67" s="162"/>
      <c r="C67" s="199"/>
      <c r="D67" s="199">
        <f>-($B$25)*$B$28/$B$27</f>
        <v>-315945.13433333329</v>
      </c>
      <c r="E67" s="199">
        <f t="shared" ref="E67:AP67" si="14">D67</f>
        <v>-315945.13433333329</v>
      </c>
      <c r="F67" s="199">
        <f t="shared" si="14"/>
        <v>-315945.13433333329</v>
      </c>
      <c r="G67" s="199">
        <f t="shared" si="14"/>
        <v>-315945.13433333329</v>
      </c>
      <c r="H67" s="199">
        <f t="shared" si="14"/>
        <v>-315945.13433333329</v>
      </c>
      <c r="I67" s="199">
        <f t="shared" si="14"/>
        <v>-315945.13433333329</v>
      </c>
      <c r="J67" s="199">
        <f t="shared" si="14"/>
        <v>-315945.13433333329</v>
      </c>
      <c r="K67" s="199">
        <f t="shared" si="14"/>
        <v>-315945.13433333329</v>
      </c>
      <c r="L67" s="199">
        <f t="shared" si="14"/>
        <v>-315945.13433333329</v>
      </c>
      <c r="M67" s="199">
        <f t="shared" si="14"/>
        <v>-315945.13433333329</v>
      </c>
      <c r="N67" s="199">
        <f t="shared" si="14"/>
        <v>-315945.13433333329</v>
      </c>
      <c r="O67" s="199">
        <f t="shared" si="14"/>
        <v>-315945.13433333329</v>
      </c>
      <c r="P67" s="199">
        <f t="shared" si="14"/>
        <v>-315945.13433333329</v>
      </c>
      <c r="Q67" s="199">
        <f t="shared" si="14"/>
        <v>-315945.13433333329</v>
      </c>
      <c r="R67" s="199">
        <f t="shared" si="14"/>
        <v>-315945.13433333329</v>
      </c>
      <c r="S67" s="199">
        <f t="shared" si="14"/>
        <v>-315945.13433333329</v>
      </c>
      <c r="T67" s="199">
        <f t="shared" si="14"/>
        <v>-315945.13433333329</v>
      </c>
      <c r="U67" s="199">
        <f t="shared" si="14"/>
        <v>-315945.13433333329</v>
      </c>
      <c r="V67" s="199">
        <f t="shared" si="14"/>
        <v>-315945.13433333329</v>
      </c>
      <c r="W67" s="199">
        <f t="shared" si="14"/>
        <v>-315945.13433333329</v>
      </c>
      <c r="X67" s="199">
        <f t="shared" si="14"/>
        <v>-315945.13433333329</v>
      </c>
      <c r="Y67" s="199">
        <f t="shared" si="14"/>
        <v>-315945.13433333329</v>
      </c>
      <c r="Z67" s="199">
        <f t="shared" si="14"/>
        <v>-315945.13433333329</v>
      </c>
      <c r="AA67" s="199">
        <f t="shared" si="14"/>
        <v>-315945.13433333329</v>
      </c>
      <c r="AB67" s="199">
        <f t="shared" si="14"/>
        <v>-315945.13433333329</v>
      </c>
      <c r="AC67" s="199">
        <f t="shared" si="14"/>
        <v>-315945.13433333329</v>
      </c>
      <c r="AD67" s="199">
        <f t="shared" si="14"/>
        <v>-315945.13433333329</v>
      </c>
      <c r="AE67" s="199">
        <f t="shared" si="14"/>
        <v>-315945.13433333329</v>
      </c>
      <c r="AF67" s="199">
        <f t="shared" si="14"/>
        <v>-315945.13433333329</v>
      </c>
      <c r="AG67" s="199">
        <f t="shared" si="14"/>
        <v>-315945.13433333329</v>
      </c>
      <c r="AH67" s="199">
        <f t="shared" si="14"/>
        <v>-315945.13433333329</v>
      </c>
      <c r="AI67" s="199">
        <f t="shared" si="14"/>
        <v>-315945.13433333329</v>
      </c>
      <c r="AJ67" s="199">
        <f t="shared" si="14"/>
        <v>-315945.13433333329</v>
      </c>
      <c r="AK67" s="199">
        <f t="shared" si="14"/>
        <v>-315945.13433333329</v>
      </c>
      <c r="AL67" s="199">
        <f t="shared" si="14"/>
        <v>-315945.13433333329</v>
      </c>
      <c r="AM67" s="199">
        <f t="shared" si="14"/>
        <v>-315945.13433333329</v>
      </c>
      <c r="AN67" s="199">
        <f t="shared" si="14"/>
        <v>-315945.13433333329</v>
      </c>
      <c r="AO67" s="199">
        <f t="shared" si="14"/>
        <v>-315945.13433333329</v>
      </c>
      <c r="AP67" s="199">
        <f t="shared" si="14"/>
        <v>-315945.13433333329</v>
      </c>
      <c r="AQ67" s="163">
        <f>SUM(B67:AA67)/1.18</f>
        <v>-6426002.7322033877</v>
      </c>
      <c r="AR67" s="164">
        <f>SUM(B67:AF67)/1.18</f>
        <v>-7764753.3014124259</v>
      </c>
      <c r="AS67" s="164">
        <f>SUM(B67:AP67)/1.18</f>
        <v>-10442254.439830502</v>
      </c>
    </row>
    <row r="68" spans="1:45" ht="28.5" x14ac:dyDescent="0.2">
      <c r="A68" s="161" t="s">
        <v>257</v>
      </c>
      <c r="B68" s="200">
        <f t="shared" ref="B68:J68" si="15">B66+B67</f>
        <v>0</v>
      </c>
      <c r="C68" s="200">
        <f>C66+C67</f>
        <v>0</v>
      </c>
      <c r="D68" s="200">
        <f>D66+D67</f>
        <v>-315945.13433333329</v>
      </c>
      <c r="E68" s="200">
        <f>E66+E67</f>
        <v>-315945.13433333329</v>
      </c>
      <c r="F68" s="200">
        <f t="shared" si="15"/>
        <v>-315945.13433333329</v>
      </c>
      <c r="G68" s="200">
        <f t="shared" si="15"/>
        <v>-315945.13433333329</v>
      </c>
      <c r="H68" s="200">
        <f t="shared" si="15"/>
        <v>-482785.98742797115</v>
      </c>
      <c r="I68" s="200">
        <f t="shared" si="15"/>
        <v>-315945.13433333329</v>
      </c>
      <c r="J68" s="200">
        <f t="shared" si="15"/>
        <v>-315945.13433333329</v>
      </c>
      <c r="K68" s="200">
        <f>K66+K67</f>
        <v>-315945.13433333329</v>
      </c>
      <c r="L68" s="200">
        <f>L66+L67</f>
        <v>-315945.13433333329</v>
      </c>
      <c r="M68" s="200">
        <f t="shared" ref="M68:AO68" si="16">M66+M67</f>
        <v>-315945.13433333329</v>
      </c>
      <c r="N68" s="200">
        <f t="shared" si="16"/>
        <v>-532230.40481540153</v>
      </c>
      <c r="O68" s="200">
        <f t="shared" si="16"/>
        <v>-315945.13433333329</v>
      </c>
      <c r="P68" s="200">
        <f t="shared" si="16"/>
        <v>-315945.13433333329</v>
      </c>
      <c r="Q68" s="200">
        <f t="shared" si="16"/>
        <v>-315945.13433333329</v>
      </c>
      <c r="R68" s="200">
        <f t="shared" si="16"/>
        <v>-315945.13433333329</v>
      </c>
      <c r="S68" s="200">
        <f t="shared" si="16"/>
        <v>-315945.13433333329</v>
      </c>
      <c r="T68" s="200">
        <f t="shared" si="16"/>
        <v>-596328.01034851745</v>
      </c>
      <c r="U68" s="200">
        <f t="shared" si="16"/>
        <v>-315945.13433333329</v>
      </c>
      <c r="V68" s="200">
        <f t="shared" si="16"/>
        <v>-315945.13433333329</v>
      </c>
      <c r="W68" s="200">
        <f t="shared" si="16"/>
        <v>-315945.13433333329</v>
      </c>
      <c r="X68" s="200">
        <f t="shared" si="16"/>
        <v>-315945.13433333329</v>
      </c>
      <c r="Y68" s="200">
        <f t="shared" si="16"/>
        <v>-315945.13433333329</v>
      </c>
      <c r="Z68" s="200">
        <f t="shared" si="16"/>
        <v>-679421.37562949676</v>
      </c>
      <c r="AA68" s="200">
        <f t="shared" si="16"/>
        <v>-315945.13433333329</v>
      </c>
      <c r="AB68" s="200">
        <f t="shared" si="16"/>
        <v>-315945.13433333329</v>
      </c>
      <c r="AC68" s="200">
        <f t="shared" si="16"/>
        <v>-315945.13433333329</v>
      </c>
      <c r="AD68" s="200">
        <f t="shared" si="16"/>
        <v>-315945.13433333329</v>
      </c>
      <c r="AE68" s="200">
        <f t="shared" si="16"/>
        <v>-315945.13433333329</v>
      </c>
      <c r="AF68" s="200">
        <f t="shared" si="16"/>
        <v>-787140.02278162795</v>
      </c>
      <c r="AG68" s="200">
        <f t="shared" si="16"/>
        <v>-315945.13433333329</v>
      </c>
      <c r="AH68" s="200">
        <f t="shared" si="16"/>
        <v>-315945.13433333329</v>
      </c>
      <c r="AI68" s="200">
        <f t="shared" si="16"/>
        <v>-315945.13433333329</v>
      </c>
      <c r="AJ68" s="200">
        <f t="shared" si="16"/>
        <v>-315945.13433333329</v>
      </c>
      <c r="AK68" s="200">
        <f t="shared" si="16"/>
        <v>-315945.13433333329</v>
      </c>
      <c r="AL68" s="200">
        <f t="shared" si="16"/>
        <v>-926781.8209570772</v>
      </c>
      <c r="AM68" s="200">
        <f t="shared" si="16"/>
        <v>-315945.13433333329</v>
      </c>
      <c r="AN68" s="200">
        <f t="shared" si="16"/>
        <v>-315945.13433333329</v>
      </c>
      <c r="AO68" s="200">
        <f t="shared" si="16"/>
        <v>-315945.13433333329</v>
      </c>
      <c r="AP68" s="200">
        <f>AP66+AP67</f>
        <v>-315945.13433333329</v>
      </c>
      <c r="AQ68" s="107">
        <v>25</v>
      </c>
      <c r="AR68" s="107">
        <v>30</v>
      </c>
      <c r="AS68" s="107">
        <v>40</v>
      </c>
    </row>
    <row r="69" spans="1:45" x14ac:dyDescent="0.2">
      <c r="A69" s="160"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5" ht="14.25" x14ac:dyDescent="0.2">
      <c r="A70" s="161" t="s">
        <v>260</v>
      </c>
      <c r="B70" s="200">
        <f t="shared" ref="B70:AO70" si="18">B68+B69</f>
        <v>0</v>
      </c>
      <c r="C70" s="200">
        <f t="shared" si="18"/>
        <v>0</v>
      </c>
      <c r="D70" s="200">
        <f t="shared" si="18"/>
        <v>-315945.13433333329</v>
      </c>
      <c r="E70" s="200">
        <f t="shared" si="18"/>
        <v>-315945.13433333329</v>
      </c>
      <c r="F70" s="200">
        <f t="shared" si="18"/>
        <v>-315945.13433333329</v>
      </c>
      <c r="G70" s="200">
        <f t="shared" si="18"/>
        <v>-315945.13433333329</v>
      </c>
      <c r="H70" s="200">
        <f t="shared" si="18"/>
        <v>-482785.98742797115</v>
      </c>
      <c r="I70" s="200">
        <f t="shared" si="18"/>
        <v>-315945.13433333329</v>
      </c>
      <c r="J70" s="200">
        <f t="shared" si="18"/>
        <v>-315945.13433333329</v>
      </c>
      <c r="K70" s="200">
        <f t="shared" si="18"/>
        <v>-315945.13433333329</v>
      </c>
      <c r="L70" s="200">
        <f t="shared" si="18"/>
        <v>-315945.13433333329</v>
      </c>
      <c r="M70" s="200">
        <f t="shared" si="18"/>
        <v>-315945.13433333329</v>
      </c>
      <c r="N70" s="200">
        <f t="shared" si="18"/>
        <v>-532230.40481540153</v>
      </c>
      <c r="O70" s="200">
        <f t="shared" si="18"/>
        <v>-315945.13433333329</v>
      </c>
      <c r="P70" s="200">
        <f t="shared" si="18"/>
        <v>-315945.13433333329</v>
      </c>
      <c r="Q70" s="200">
        <f t="shared" si="18"/>
        <v>-315945.13433333329</v>
      </c>
      <c r="R70" s="200">
        <f t="shared" si="18"/>
        <v>-315945.13433333329</v>
      </c>
      <c r="S70" s="200">
        <f t="shared" si="18"/>
        <v>-315945.13433333329</v>
      </c>
      <c r="T70" s="200">
        <f t="shared" si="18"/>
        <v>-596328.01034851745</v>
      </c>
      <c r="U70" s="200">
        <f t="shared" si="18"/>
        <v>-315945.13433333329</v>
      </c>
      <c r="V70" s="200">
        <f t="shared" si="18"/>
        <v>-315945.13433333329</v>
      </c>
      <c r="W70" s="200">
        <f t="shared" si="18"/>
        <v>-315945.13433333329</v>
      </c>
      <c r="X70" s="200">
        <f t="shared" si="18"/>
        <v>-315945.13433333329</v>
      </c>
      <c r="Y70" s="200">
        <f t="shared" si="18"/>
        <v>-315945.13433333329</v>
      </c>
      <c r="Z70" s="200">
        <f t="shared" si="18"/>
        <v>-679421.37562949676</v>
      </c>
      <c r="AA70" s="200">
        <f t="shared" si="18"/>
        <v>-315945.13433333329</v>
      </c>
      <c r="AB70" s="200">
        <f t="shared" si="18"/>
        <v>-315945.13433333329</v>
      </c>
      <c r="AC70" s="200">
        <f t="shared" si="18"/>
        <v>-315945.13433333329</v>
      </c>
      <c r="AD70" s="200">
        <f t="shared" si="18"/>
        <v>-315945.13433333329</v>
      </c>
      <c r="AE70" s="200">
        <f t="shared" si="18"/>
        <v>-315945.13433333329</v>
      </c>
      <c r="AF70" s="200">
        <f t="shared" si="18"/>
        <v>-787140.02278162795</v>
      </c>
      <c r="AG70" s="200">
        <f t="shared" si="18"/>
        <v>-315945.13433333329</v>
      </c>
      <c r="AH70" s="200">
        <f t="shared" si="18"/>
        <v>-315945.13433333329</v>
      </c>
      <c r="AI70" s="200">
        <f t="shared" si="18"/>
        <v>-315945.13433333329</v>
      </c>
      <c r="AJ70" s="200">
        <f t="shared" si="18"/>
        <v>-315945.13433333329</v>
      </c>
      <c r="AK70" s="200">
        <f t="shared" si="18"/>
        <v>-315945.13433333329</v>
      </c>
      <c r="AL70" s="200">
        <f t="shared" si="18"/>
        <v>-926781.8209570772</v>
      </c>
      <c r="AM70" s="200">
        <f t="shared" si="18"/>
        <v>-315945.13433333329</v>
      </c>
      <c r="AN70" s="200">
        <f t="shared" si="18"/>
        <v>-315945.13433333329</v>
      </c>
      <c r="AO70" s="200">
        <f t="shared" si="18"/>
        <v>-315945.13433333329</v>
      </c>
      <c r="AP70" s="200">
        <f>AP68+AP69</f>
        <v>-315945.13433333329</v>
      </c>
    </row>
    <row r="71" spans="1:45" x14ac:dyDescent="0.2">
      <c r="A71" s="160" t="s">
        <v>254</v>
      </c>
      <c r="B71" s="199">
        <f t="shared" ref="B71:AP71" si="19">-B70*$B$36</f>
        <v>0</v>
      </c>
      <c r="C71" s="199">
        <f t="shared" si="19"/>
        <v>0</v>
      </c>
      <c r="D71" s="199">
        <f t="shared" si="19"/>
        <v>63189.02686666666</v>
      </c>
      <c r="E71" s="199">
        <f t="shared" si="19"/>
        <v>63189.02686666666</v>
      </c>
      <c r="F71" s="199">
        <f t="shared" si="19"/>
        <v>63189.02686666666</v>
      </c>
      <c r="G71" s="199">
        <f t="shared" si="19"/>
        <v>63189.02686666666</v>
      </c>
      <c r="H71" s="199">
        <f t="shared" si="19"/>
        <v>96557.197485594239</v>
      </c>
      <c r="I71" s="199">
        <f t="shared" si="19"/>
        <v>63189.02686666666</v>
      </c>
      <c r="J71" s="199">
        <f t="shared" si="19"/>
        <v>63189.02686666666</v>
      </c>
      <c r="K71" s="199">
        <f t="shared" si="19"/>
        <v>63189.02686666666</v>
      </c>
      <c r="L71" s="199">
        <f t="shared" si="19"/>
        <v>63189.02686666666</v>
      </c>
      <c r="M71" s="199">
        <f t="shared" si="19"/>
        <v>63189.02686666666</v>
      </c>
      <c r="N71" s="199">
        <f t="shared" si="19"/>
        <v>106446.08096308031</v>
      </c>
      <c r="O71" s="199">
        <f t="shared" si="19"/>
        <v>63189.02686666666</v>
      </c>
      <c r="P71" s="199">
        <f t="shared" si="19"/>
        <v>63189.02686666666</v>
      </c>
      <c r="Q71" s="199">
        <f t="shared" si="19"/>
        <v>63189.02686666666</v>
      </c>
      <c r="R71" s="199">
        <f t="shared" si="19"/>
        <v>63189.02686666666</v>
      </c>
      <c r="S71" s="199">
        <f t="shared" si="19"/>
        <v>63189.02686666666</v>
      </c>
      <c r="T71" s="199">
        <f t="shared" si="19"/>
        <v>119265.6020697035</v>
      </c>
      <c r="U71" s="199">
        <f t="shared" si="19"/>
        <v>63189.02686666666</v>
      </c>
      <c r="V71" s="199">
        <f t="shared" si="19"/>
        <v>63189.02686666666</v>
      </c>
      <c r="W71" s="199">
        <f t="shared" si="19"/>
        <v>63189.02686666666</v>
      </c>
      <c r="X71" s="199">
        <f t="shared" si="19"/>
        <v>63189.02686666666</v>
      </c>
      <c r="Y71" s="199">
        <f t="shared" si="19"/>
        <v>63189.02686666666</v>
      </c>
      <c r="Z71" s="199">
        <f t="shared" si="19"/>
        <v>135884.27512589935</v>
      </c>
      <c r="AA71" s="199">
        <f t="shared" si="19"/>
        <v>63189.02686666666</v>
      </c>
      <c r="AB71" s="199">
        <f t="shared" si="19"/>
        <v>63189.02686666666</v>
      </c>
      <c r="AC71" s="199">
        <f t="shared" si="19"/>
        <v>63189.02686666666</v>
      </c>
      <c r="AD71" s="199">
        <f t="shared" si="19"/>
        <v>63189.02686666666</v>
      </c>
      <c r="AE71" s="199">
        <f t="shared" si="19"/>
        <v>63189.02686666666</v>
      </c>
      <c r="AF71" s="199">
        <f t="shared" si="19"/>
        <v>157428.00455632561</v>
      </c>
      <c r="AG71" s="199">
        <f t="shared" si="19"/>
        <v>63189.02686666666</v>
      </c>
      <c r="AH71" s="199">
        <f t="shared" si="19"/>
        <v>63189.02686666666</v>
      </c>
      <c r="AI71" s="199">
        <f t="shared" si="19"/>
        <v>63189.02686666666</v>
      </c>
      <c r="AJ71" s="199">
        <f t="shared" si="19"/>
        <v>63189.02686666666</v>
      </c>
      <c r="AK71" s="199">
        <f t="shared" si="19"/>
        <v>63189.02686666666</v>
      </c>
      <c r="AL71" s="199">
        <f t="shared" si="19"/>
        <v>185356.36419141546</v>
      </c>
      <c r="AM71" s="199">
        <f t="shared" si="19"/>
        <v>63189.02686666666</v>
      </c>
      <c r="AN71" s="199">
        <f t="shared" si="19"/>
        <v>63189.02686666666</v>
      </c>
      <c r="AO71" s="199">
        <f t="shared" si="19"/>
        <v>63189.02686666666</v>
      </c>
      <c r="AP71" s="199">
        <f t="shared" si="19"/>
        <v>63189.02686666666</v>
      </c>
    </row>
    <row r="72" spans="1:45" ht="15" thickBot="1" x14ac:dyDescent="0.25">
      <c r="A72" s="165" t="s">
        <v>259</v>
      </c>
      <c r="B72" s="166">
        <f t="shared" ref="B72:AO72" si="20">B70+B71</f>
        <v>0</v>
      </c>
      <c r="C72" s="166">
        <f t="shared" si="20"/>
        <v>0</v>
      </c>
      <c r="D72" s="166">
        <f t="shared" si="20"/>
        <v>-252756.10746666664</v>
      </c>
      <c r="E72" s="166">
        <f t="shared" si="20"/>
        <v>-252756.10746666664</v>
      </c>
      <c r="F72" s="166">
        <f t="shared" si="20"/>
        <v>-252756.10746666664</v>
      </c>
      <c r="G72" s="166">
        <f t="shared" si="20"/>
        <v>-252756.10746666664</v>
      </c>
      <c r="H72" s="166">
        <f t="shared" si="20"/>
        <v>-386228.7899423769</v>
      </c>
      <c r="I72" s="166">
        <f t="shared" si="20"/>
        <v>-252756.10746666664</v>
      </c>
      <c r="J72" s="166">
        <f t="shared" si="20"/>
        <v>-252756.10746666664</v>
      </c>
      <c r="K72" s="166">
        <f t="shared" si="20"/>
        <v>-252756.10746666664</v>
      </c>
      <c r="L72" s="166">
        <f t="shared" si="20"/>
        <v>-252756.10746666664</v>
      </c>
      <c r="M72" s="166">
        <f t="shared" si="20"/>
        <v>-252756.10746666664</v>
      </c>
      <c r="N72" s="166">
        <f t="shared" si="20"/>
        <v>-425784.32385232125</v>
      </c>
      <c r="O72" s="166">
        <f t="shared" si="20"/>
        <v>-252756.10746666664</v>
      </c>
      <c r="P72" s="166">
        <f t="shared" si="20"/>
        <v>-252756.10746666664</v>
      </c>
      <c r="Q72" s="166">
        <f t="shared" si="20"/>
        <v>-252756.10746666664</v>
      </c>
      <c r="R72" s="166">
        <f t="shared" si="20"/>
        <v>-252756.10746666664</v>
      </c>
      <c r="S72" s="166">
        <f t="shared" si="20"/>
        <v>-252756.10746666664</v>
      </c>
      <c r="T72" s="166">
        <f t="shared" si="20"/>
        <v>-477062.40827881393</v>
      </c>
      <c r="U72" s="166">
        <f t="shared" si="20"/>
        <v>-252756.10746666664</v>
      </c>
      <c r="V72" s="166">
        <f t="shared" si="20"/>
        <v>-252756.10746666664</v>
      </c>
      <c r="W72" s="166">
        <f t="shared" si="20"/>
        <v>-252756.10746666664</v>
      </c>
      <c r="X72" s="166">
        <f t="shared" si="20"/>
        <v>-252756.10746666664</v>
      </c>
      <c r="Y72" s="166">
        <f t="shared" si="20"/>
        <v>-252756.10746666664</v>
      </c>
      <c r="Z72" s="166">
        <f t="shared" si="20"/>
        <v>-543537.10050359741</v>
      </c>
      <c r="AA72" s="166">
        <f t="shared" si="20"/>
        <v>-252756.10746666664</v>
      </c>
      <c r="AB72" s="166">
        <f t="shared" si="20"/>
        <v>-252756.10746666664</v>
      </c>
      <c r="AC72" s="166">
        <f t="shared" si="20"/>
        <v>-252756.10746666664</v>
      </c>
      <c r="AD72" s="166">
        <f t="shared" si="20"/>
        <v>-252756.10746666664</v>
      </c>
      <c r="AE72" s="166">
        <f t="shared" si="20"/>
        <v>-252756.10746666664</v>
      </c>
      <c r="AF72" s="166">
        <f t="shared" si="20"/>
        <v>-629712.01822530234</v>
      </c>
      <c r="AG72" s="166">
        <f t="shared" si="20"/>
        <v>-252756.10746666664</v>
      </c>
      <c r="AH72" s="166">
        <f t="shared" si="20"/>
        <v>-252756.10746666664</v>
      </c>
      <c r="AI72" s="166">
        <f t="shared" si="20"/>
        <v>-252756.10746666664</v>
      </c>
      <c r="AJ72" s="166">
        <f t="shared" si="20"/>
        <v>-252756.10746666664</v>
      </c>
      <c r="AK72" s="166">
        <f t="shared" si="20"/>
        <v>-252756.10746666664</v>
      </c>
      <c r="AL72" s="166">
        <f t="shared" si="20"/>
        <v>-741425.45676566171</v>
      </c>
      <c r="AM72" s="166">
        <f t="shared" si="20"/>
        <v>-252756.10746666664</v>
      </c>
      <c r="AN72" s="166">
        <f t="shared" si="20"/>
        <v>-252756.10746666664</v>
      </c>
      <c r="AO72" s="166">
        <f t="shared" si="20"/>
        <v>-252756.10746666664</v>
      </c>
      <c r="AP72" s="166">
        <f>AP70+AP71</f>
        <v>-252756.10746666664</v>
      </c>
    </row>
    <row r="73" spans="1:45" s="167" customFormat="1" ht="16.5" thickBot="1" x14ac:dyDescent="0.25">
      <c r="A73" s="156"/>
      <c r="B73" s="378">
        <f>B144</f>
        <v>0.5</v>
      </c>
      <c r="C73" s="378">
        <f t="shared" ref="C73:AP73" si="21">C144</f>
        <v>1.5</v>
      </c>
      <c r="D73" s="378">
        <f t="shared" si="21"/>
        <v>2.5</v>
      </c>
      <c r="E73" s="378">
        <f t="shared" si="21"/>
        <v>3.5</v>
      </c>
      <c r="F73" s="378">
        <f t="shared" si="21"/>
        <v>4.5</v>
      </c>
      <c r="G73" s="378">
        <f t="shared" si="21"/>
        <v>5.5</v>
      </c>
      <c r="H73" s="378">
        <f t="shared" si="21"/>
        <v>6.5</v>
      </c>
      <c r="I73" s="378">
        <f t="shared" si="21"/>
        <v>7.5</v>
      </c>
      <c r="J73" s="378">
        <f t="shared" si="21"/>
        <v>8.5</v>
      </c>
      <c r="K73" s="378">
        <f t="shared" si="21"/>
        <v>9.5</v>
      </c>
      <c r="L73" s="378">
        <f t="shared" si="21"/>
        <v>10.5</v>
      </c>
      <c r="M73" s="378">
        <f t="shared" si="21"/>
        <v>11.5</v>
      </c>
      <c r="N73" s="378">
        <f t="shared" si="21"/>
        <v>12.5</v>
      </c>
      <c r="O73" s="378">
        <f t="shared" si="21"/>
        <v>13.5</v>
      </c>
      <c r="P73" s="378">
        <f t="shared" si="21"/>
        <v>14.5</v>
      </c>
      <c r="Q73" s="378">
        <f t="shared" si="21"/>
        <v>15.5</v>
      </c>
      <c r="R73" s="378">
        <f t="shared" si="21"/>
        <v>16.5</v>
      </c>
      <c r="S73" s="378">
        <f t="shared" si="21"/>
        <v>17.5</v>
      </c>
      <c r="T73" s="378">
        <f t="shared" si="21"/>
        <v>18.5</v>
      </c>
      <c r="U73" s="378">
        <f t="shared" si="21"/>
        <v>19.5</v>
      </c>
      <c r="V73" s="378">
        <f t="shared" si="21"/>
        <v>20.5</v>
      </c>
      <c r="W73" s="378">
        <f t="shared" si="21"/>
        <v>21.5</v>
      </c>
      <c r="X73" s="378">
        <f t="shared" si="21"/>
        <v>22.5</v>
      </c>
      <c r="Y73" s="378">
        <f t="shared" si="21"/>
        <v>23.5</v>
      </c>
      <c r="Z73" s="378">
        <f t="shared" si="21"/>
        <v>24.5</v>
      </c>
      <c r="AA73" s="378">
        <f t="shared" si="21"/>
        <v>25.5</v>
      </c>
      <c r="AB73" s="378">
        <f t="shared" si="21"/>
        <v>26.5</v>
      </c>
      <c r="AC73" s="378">
        <f t="shared" si="21"/>
        <v>27.5</v>
      </c>
      <c r="AD73" s="378">
        <f t="shared" si="21"/>
        <v>28.5</v>
      </c>
      <c r="AE73" s="378">
        <f t="shared" si="21"/>
        <v>29.5</v>
      </c>
      <c r="AF73" s="378">
        <f t="shared" si="21"/>
        <v>30.5</v>
      </c>
      <c r="AG73" s="378">
        <f t="shared" si="21"/>
        <v>31.5</v>
      </c>
      <c r="AH73" s="378">
        <f t="shared" si="21"/>
        <v>32.5</v>
      </c>
      <c r="AI73" s="378">
        <f t="shared" si="21"/>
        <v>33.5</v>
      </c>
      <c r="AJ73" s="378">
        <f t="shared" si="21"/>
        <v>34.5</v>
      </c>
      <c r="AK73" s="378">
        <f t="shared" si="21"/>
        <v>35.5</v>
      </c>
      <c r="AL73" s="378">
        <f t="shared" si="21"/>
        <v>36.5</v>
      </c>
      <c r="AM73" s="378">
        <f t="shared" si="21"/>
        <v>37.5</v>
      </c>
      <c r="AN73" s="378">
        <f t="shared" si="21"/>
        <v>38.5</v>
      </c>
      <c r="AO73" s="378">
        <f t="shared" si="21"/>
        <v>39.5</v>
      </c>
      <c r="AP73" s="378">
        <f t="shared" si="21"/>
        <v>40.5</v>
      </c>
      <c r="AQ73" s="107"/>
      <c r="AR73" s="107"/>
      <c r="AS73" s="107"/>
    </row>
    <row r="74" spans="1:45" x14ac:dyDescent="0.2">
      <c r="A74" s="151" t="s">
        <v>258</v>
      </c>
      <c r="B74" s="152">
        <f t="shared" ref="B74:AO74" si="22">B58</f>
        <v>1</v>
      </c>
      <c r="C74" s="152">
        <f t="shared" si="22"/>
        <v>2</v>
      </c>
      <c r="D74" s="152">
        <f t="shared" si="22"/>
        <v>3</v>
      </c>
      <c r="E74" s="152">
        <f t="shared" si="22"/>
        <v>4</v>
      </c>
      <c r="F74" s="152">
        <f t="shared" si="22"/>
        <v>5</v>
      </c>
      <c r="G74" s="152">
        <f t="shared" si="22"/>
        <v>6</v>
      </c>
      <c r="H74" s="152">
        <f t="shared" si="22"/>
        <v>7</v>
      </c>
      <c r="I74" s="152">
        <f t="shared" si="22"/>
        <v>8</v>
      </c>
      <c r="J74" s="152">
        <f t="shared" si="22"/>
        <v>9</v>
      </c>
      <c r="K74" s="152">
        <f t="shared" si="22"/>
        <v>10</v>
      </c>
      <c r="L74" s="152">
        <f t="shared" si="22"/>
        <v>11</v>
      </c>
      <c r="M74" s="152">
        <f t="shared" si="22"/>
        <v>12</v>
      </c>
      <c r="N74" s="152">
        <f t="shared" si="22"/>
        <v>13</v>
      </c>
      <c r="O74" s="152">
        <f t="shared" si="22"/>
        <v>14</v>
      </c>
      <c r="P74" s="152">
        <f t="shared" si="22"/>
        <v>15</v>
      </c>
      <c r="Q74" s="152">
        <f t="shared" si="22"/>
        <v>16</v>
      </c>
      <c r="R74" s="152">
        <f t="shared" si="22"/>
        <v>17</v>
      </c>
      <c r="S74" s="152">
        <f t="shared" si="22"/>
        <v>18</v>
      </c>
      <c r="T74" s="152">
        <f t="shared" si="22"/>
        <v>19</v>
      </c>
      <c r="U74" s="152">
        <f t="shared" si="22"/>
        <v>20</v>
      </c>
      <c r="V74" s="152">
        <f t="shared" si="22"/>
        <v>21</v>
      </c>
      <c r="W74" s="152">
        <f t="shared" si="22"/>
        <v>22</v>
      </c>
      <c r="X74" s="152">
        <f t="shared" si="22"/>
        <v>23</v>
      </c>
      <c r="Y74" s="152">
        <f t="shared" si="22"/>
        <v>24</v>
      </c>
      <c r="Z74" s="152">
        <f t="shared" si="22"/>
        <v>25</v>
      </c>
      <c r="AA74" s="152">
        <f t="shared" si="22"/>
        <v>26</v>
      </c>
      <c r="AB74" s="152">
        <f t="shared" si="22"/>
        <v>27</v>
      </c>
      <c r="AC74" s="152">
        <f t="shared" si="22"/>
        <v>28</v>
      </c>
      <c r="AD74" s="152">
        <f t="shared" si="22"/>
        <v>29</v>
      </c>
      <c r="AE74" s="152">
        <f t="shared" si="22"/>
        <v>30</v>
      </c>
      <c r="AF74" s="152">
        <f t="shared" si="22"/>
        <v>31</v>
      </c>
      <c r="AG74" s="152">
        <f t="shared" si="22"/>
        <v>32</v>
      </c>
      <c r="AH74" s="152">
        <f t="shared" si="22"/>
        <v>33</v>
      </c>
      <c r="AI74" s="152">
        <f t="shared" si="22"/>
        <v>34</v>
      </c>
      <c r="AJ74" s="152">
        <f t="shared" si="22"/>
        <v>35</v>
      </c>
      <c r="AK74" s="152">
        <f t="shared" si="22"/>
        <v>36</v>
      </c>
      <c r="AL74" s="152">
        <f t="shared" si="22"/>
        <v>37</v>
      </c>
      <c r="AM74" s="152">
        <f t="shared" si="22"/>
        <v>38</v>
      </c>
      <c r="AN74" s="152">
        <f t="shared" si="22"/>
        <v>39</v>
      </c>
      <c r="AO74" s="152">
        <f t="shared" si="22"/>
        <v>40</v>
      </c>
      <c r="AP74" s="152">
        <f>AP58</f>
        <v>41</v>
      </c>
    </row>
    <row r="75" spans="1:45" ht="28.5" x14ac:dyDescent="0.2">
      <c r="A75" s="159" t="s">
        <v>257</v>
      </c>
      <c r="B75" s="200">
        <f t="shared" ref="B75:AO75" si="23">B68</f>
        <v>0</v>
      </c>
      <c r="C75" s="200">
        <f t="shared" si="23"/>
        <v>0</v>
      </c>
      <c r="D75" s="200">
        <f>D68</f>
        <v>-315945.13433333329</v>
      </c>
      <c r="E75" s="200">
        <f t="shared" si="23"/>
        <v>-315945.13433333329</v>
      </c>
      <c r="F75" s="200">
        <f t="shared" si="23"/>
        <v>-315945.13433333329</v>
      </c>
      <c r="G75" s="200">
        <f t="shared" si="23"/>
        <v>-315945.13433333329</v>
      </c>
      <c r="H75" s="200">
        <f t="shared" si="23"/>
        <v>-482785.98742797115</v>
      </c>
      <c r="I75" s="200">
        <f t="shared" si="23"/>
        <v>-315945.13433333329</v>
      </c>
      <c r="J75" s="200">
        <f t="shared" si="23"/>
        <v>-315945.13433333329</v>
      </c>
      <c r="K75" s="200">
        <f t="shared" si="23"/>
        <v>-315945.13433333329</v>
      </c>
      <c r="L75" s="200">
        <f t="shared" si="23"/>
        <v>-315945.13433333329</v>
      </c>
      <c r="M75" s="200">
        <f t="shared" si="23"/>
        <v>-315945.13433333329</v>
      </c>
      <c r="N75" s="200">
        <f t="shared" si="23"/>
        <v>-532230.40481540153</v>
      </c>
      <c r="O75" s="200">
        <f t="shared" si="23"/>
        <v>-315945.13433333329</v>
      </c>
      <c r="P75" s="200">
        <f t="shared" si="23"/>
        <v>-315945.13433333329</v>
      </c>
      <c r="Q75" s="200">
        <f t="shared" si="23"/>
        <v>-315945.13433333329</v>
      </c>
      <c r="R75" s="200">
        <f t="shared" si="23"/>
        <v>-315945.13433333329</v>
      </c>
      <c r="S75" s="200">
        <f t="shared" si="23"/>
        <v>-315945.13433333329</v>
      </c>
      <c r="T75" s="200">
        <f t="shared" si="23"/>
        <v>-596328.01034851745</v>
      </c>
      <c r="U75" s="200">
        <f t="shared" si="23"/>
        <v>-315945.13433333329</v>
      </c>
      <c r="V75" s="200">
        <f t="shared" si="23"/>
        <v>-315945.13433333329</v>
      </c>
      <c r="W75" s="200">
        <f t="shared" si="23"/>
        <v>-315945.13433333329</v>
      </c>
      <c r="X75" s="200">
        <f t="shared" si="23"/>
        <v>-315945.13433333329</v>
      </c>
      <c r="Y75" s="200">
        <f t="shared" si="23"/>
        <v>-315945.13433333329</v>
      </c>
      <c r="Z75" s="200">
        <f t="shared" si="23"/>
        <v>-679421.37562949676</v>
      </c>
      <c r="AA75" s="200">
        <f t="shared" si="23"/>
        <v>-315945.13433333329</v>
      </c>
      <c r="AB75" s="200">
        <f t="shared" si="23"/>
        <v>-315945.13433333329</v>
      </c>
      <c r="AC75" s="200">
        <f t="shared" si="23"/>
        <v>-315945.13433333329</v>
      </c>
      <c r="AD75" s="200">
        <f t="shared" si="23"/>
        <v>-315945.13433333329</v>
      </c>
      <c r="AE75" s="200">
        <f t="shared" si="23"/>
        <v>-315945.13433333329</v>
      </c>
      <c r="AF75" s="200">
        <f t="shared" si="23"/>
        <v>-787140.02278162795</v>
      </c>
      <c r="AG75" s="200">
        <f t="shared" si="23"/>
        <v>-315945.13433333329</v>
      </c>
      <c r="AH75" s="200">
        <f t="shared" si="23"/>
        <v>-315945.13433333329</v>
      </c>
      <c r="AI75" s="200">
        <f t="shared" si="23"/>
        <v>-315945.13433333329</v>
      </c>
      <c r="AJ75" s="200">
        <f t="shared" si="23"/>
        <v>-315945.13433333329</v>
      </c>
      <c r="AK75" s="200">
        <f t="shared" si="23"/>
        <v>-315945.13433333329</v>
      </c>
      <c r="AL75" s="200">
        <f t="shared" si="23"/>
        <v>-926781.8209570772</v>
      </c>
      <c r="AM75" s="200">
        <f t="shared" si="23"/>
        <v>-315945.13433333329</v>
      </c>
      <c r="AN75" s="200">
        <f t="shared" si="23"/>
        <v>-315945.13433333329</v>
      </c>
      <c r="AO75" s="200">
        <f t="shared" si="23"/>
        <v>-315945.13433333329</v>
      </c>
      <c r="AP75" s="200">
        <f>AP68</f>
        <v>-315945.13433333329</v>
      </c>
    </row>
    <row r="76" spans="1:45" x14ac:dyDescent="0.2">
      <c r="A76" s="160" t="s">
        <v>256</v>
      </c>
      <c r="B76" s="199">
        <f t="shared" ref="B76:AO76" si="24">-B67</f>
        <v>0</v>
      </c>
      <c r="C76" s="199">
        <f>-C67</f>
        <v>0</v>
      </c>
      <c r="D76" s="199">
        <f t="shared" si="24"/>
        <v>315945.13433333329</v>
      </c>
      <c r="E76" s="199">
        <f t="shared" si="24"/>
        <v>315945.13433333329</v>
      </c>
      <c r="F76" s="199">
        <f t="shared" si="24"/>
        <v>315945.13433333329</v>
      </c>
      <c r="G76" s="199">
        <f t="shared" si="24"/>
        <v>315945.13433333329</v>
      </c>
      <c r="H76" s="199">
        <f t="shared" si="24"/>
        <v>315945.13433333329</v>
      </c>
      <c r="I76" s="199">
        <f t="shared" si="24"/>
        <v>315945.13433333329</v>
      </c>
      <c r="J76" s="199">
        <f t="shared" si="24"/>
        <v>315945.13433333329</v>
      </c>
      <c r="K76" s="199">
        <f t="shared" si="24"/>
        <v>315945.13433333329</v>
      </c>
      <c r="L76" s="199">
        <f>-L67</f>
        <v>315945.13433333329</v>
      </c>
      <c r="M76" s="199">
        <f>-M67</f>
        <v>315945.13433333329</v>
      </c>
      <c r="N76" s="199">
        <f t="shared" si="24"/>
        <v>315945.13433333329</v>
      </c>
      <c r="O76" s="199">
        <f t="shared" si="24"/>
        <v>315945.13433333329</v>
      </c>
      <c r="P76" s="199">
        <f t="shared" si="24"/>
        <v>315945.13433333329</v>
      </c>
      <c r="Q76" s="199">
        <f t="shared" si="24"/>
        <v>315945.13433333329</v>
      </c>
      <c r="R76" s="199">
        <f t="shared" si="24"/>
        <v>315945.13433333329</v>
      </c>
      <c r="S76" s="199">
        <f t="shared" si="24"/>
        <v>315945.13433333329</v>
      </c>
      <c r="T76" s="199">
        <f t="shared" si="24"/>
        <v>315945.13433333329</v>
      </c>
      <c r="U76" s="199">
        <f t="shared" si="24"/>
        <v>315945.13433333329</v>
      </c>
      <c r="V76" s="199">
        <f t="shared" si="24"/>
        <v>315945.13433333329</v>
      </c>
      <c r="W76" s="199">
        <f t="shared" si="24"/>
        <v>315945.13433333329</v>
      </c>
      <c r="X76" s="199">
        <f t="shared" si="24"/>
        <v>315945.13433333329</v>
      </c>
      <c r="Y76" s="199">
        <f t="shared" si="24"/>
        <v>315945.13433333329</v>
      </c>
      <c r="Z76" s="199">
        <f t="shared" si="24"/>
        <v>315945.13433333329</v>
      </c>
      <c r="AA76" s="199">
        <f t="shared" si="24"/>
        <v>315945.13433333329</v>
      </c>
      <c r="AB76" s="199">
        <f t="shared" si="24"/>
        <v>315945.13433333329</v>
      </c>
      <c r="AC76" s="199">
        <f t="shared" si="24"/>
        <v>315945.13433333329</v>
      </c>
      <c r="AD76" s="199">
        <f t="shared" si="24"/>
        <v>315945.13433333329</v>
      </c>
      <c r="AE76" s="199">
        <f t="shared" si="24"/>
        <v>315945.13433333329</v>
      </c>
      <c r="AF76" s="199">
        <f t="shared" si="24"/>
        <v>315945.13433333329</v>
      </c>
      <c r="AG76" s="199">
        <f t="shared" si="24"/>
        <v>315945.13433333329</v>
      </c>
      <c r="AH76" s="199">
        <f t="shared" si="24"/>
        <v>315945.13433333329</v>
      </c>
      <c r="AI76" s="199">
        <f t="shared" si="24"/>
        <v>315945.13433333329</v>
      </c>
      <c r="AJ76" s="199">
        <f t="shared" si="24"/>
        <v>315945.13433333329</v>
      </c>
      <c r="AK76" s="199">
        <f t="shared" si="24"/>
        <v>315945.13433333329</v>
      </c>
      <c r="AL76" s="199">
        <f t="shared" si="24"/>
        <v>315945.13433333329</v>
      </c>
      <c r="AM76" s="199">
        <f t="shared" si="24"/>
        <v>315945.13433333329</v>
      </c>
      <c r="AN76" s="199">
        <f t="shared" si="24"/>
        <v>315945.13433333329</v>
      </c>
      <c r="AO76" s="199">
        <f t="shared" si="24"/>
        <v>315945.13433333329</v>
      </c>
      <c r="AP76" s="199">
        <f>-AP67</f>
        <v>315945.13433333329</v>
      </c>
    </row>
    <row r="77" spans="1:45" x14ac:dyDescent="0.2">
      <c r="A77" s="160"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5" x14ac:dyDescent="0.2">
      <c r="A78" s="160"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5" x14ac:dyDescent="0.2">
      <c r="A79" s="160"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5" x14ac:dyDescent="0.2">
      <c r="A80" s="160"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0" t="s">
        <v>663</v>
      </c>
      <c r="B81" s="199">
        <f>-'6.2. Паспорт фин осв ввод'!J30*1000000</f>
        <v>-209102.46</v>
      </c>
      <c r="C81" s="199">
        <f>-'6.2. Паспорт фин осв ввод'!N30*1000000</f>
        <v>-9269251.5700000003</v>
      </c>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3">
        <f>SUM(B81:AP81)</f>
        <v>-9478354.0300000012</v>
      </c>
      <c r="AR81" s="164"/>
    </row>
    <row r="82" spans="1:45" x14ac:dyDescent="0.2">
      <c r="A82" s="160"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1" t="s">
        <v>250</v>
      </c>
      <c r="B83" s="200">
        <f>SUM(B75:B82)</f>
        <v>-209102.46</v>
      </c>
      <c r="C83" s="200">
        <f t="shared" ref="C83:V83" si="28">SUM(C75:C82)</f>
        <v>-9269251.5700000003</v>
      </c>
      <c r="D83" s="200">
        <f t="shared" si="28"/>
        <v>0</v>
      </c>
      <c r="E83" s="200">
        <f t="shared" si="28"/>
        <v>0</v>
      </c>
      <c r="F83" s="200">
        <f t="shared" si="28"/>
        <v>0</v>
      </c>
      <c r="G83" s="200">
        <f t="shared" si="28"/>
        <v>0</v>
      </c>
      <c r="H83" s="200">
        <f t="shared" si="28"/>
        <v>-166840.85309463786</v>
      </c>
      <c r="I83" s="200">
        <f t="shared" si="28"/>
        <v>0</v>
      </c>
      <c r="J83" s="200">
        <f t="shared" si="28"/>
        <v>0</v>
      </c>
      <c r="K83" s="200">
        <f t="shared" si="28"/>
        <v>0</v>
      </c>
      <c r="L83" s="200">
        <f t="shared" si="28"/>
        <v>0</v>
      </c>
      <c r="M83" s="200">
        <f t="shared" si="28"/>
        <v>0</v>
      </c>
      <c r="N83" s="200">
        <f t="shared" si="28"/>
        <v>-216285.27048206824</v>
      </c>
      <c r="O83" s="200">
        <f t="shared" si="28"/>
        <v>0</v>
      </c>
      <c r="P83" s="200">
        <f t="shared" si="28"/>
        <v>0</v>
      </c>
      <c r="Q83" s="200">
        <f t="shared" si="28"/>
        <v>0</v>
      </c>
      <c r="R83" s="200">
        <f t="shared" si="28"/>
        <v>0</v>
      </c>
      <c r="S83" s="200">
        <f t="shared" si="28"/>
        <v>0</v>
      </c>
      <c r="T83" s="200">
        <f t="shared" si="28"/>
        <v>-280382.87601518416</v>
      </c>
      <c r="U83" s="200">
        <f t="shared" si="28"/>
        <v>0</v>
      </c>
      <c r="V83" s="200">
        <f t="shared" si="28"/>
        <v>0</v>
      </c>
      <c r="W83" s="200">
        <f>SUM(W75:W82)</f>
        <v>0</v>
      </c>
      <c r="X83" s="200">
        <f>SUM(X75:X82)</f>
        <v>0</v>
      </c>
      <c r="Y83" s="200">
        <f>SUM(Y75:Y82)</f>
        <v>0</v>
      </c>
      <c r="Z83" s="200">
        <f>SUM(Z75:Z82)</f>
        <v>-363476.24129616347</v>
      </c>
      <c r="AA83" s="200">
        <f t="shared" ref="AA83:AP83" si="29">SUM(AA75:AA82)</f>
        <v>0</v>
      </c>
      <c r="AB83" s="200">
        <f t="shared" si="29"/>
        <v>0</v>
      </c>
      <c r="AC83" s="200">
        <f t="shared" si="29"/>
        <v>0</v>
      </c>
      <c r="AD83" s="200">
        <f t="shared" si="29"/>
        <v>0</v>
      </c>
      <c r="AE83" s="200">
        <f t="shared" si="29"/>
        <v>0</v>
      </c>
      <c r="AF83" s="200">
        <f t="shared" si="29"/>
        <v>-471194.88844829466</v>
      </c>
      <c r="AG83" s="200">
        <f t="shared" si="29"/>
        <v>0</v>
      </c>
      <c r="AH83" s="200">
        <f t="shared" si="29"/>
        <v>0</v>
      </c>
      <c r="AI83" s="200">
        <f t="shared" si="29"/>
        <v>0</v>
      </c>
      <c r="AJ83" s="200">
        <f t="shared" si="29"/>
        <v>0</v>
      </c>
      <c r="AK83" s="200">
        <f t="shared" si="29"/>
        <v>0</v>
      </c>
      <c r="AL83" s="200">
        <f t="shared" si="29"/>
        <v>-610836.68662374397</v>
      </c>
      <c r="AM83" s="200">
        <f t="shared" si="29"/>
        <v>0</v>
      </c>
      <c r="AN83" s="200">
        <f t="shared" si="29"/>
        <v>0</v>
      </c>
      <c r="AO83" s="200">
        <f t="shared" si="29"/>
        <v>0</v>
      </c>
      <c r="AP83" s="200">
        <f t="shared" si="29"/>
        <v>0</v>
      </c>
    </row>
    <row r="84" spans="1:45" ht="14.25" x14ac:dyDescent="0.2">
      <c r="A84" s="161" t="s">
        <v>249</v>
      </c>
      <c r="B84" s="200">
        <f>SUM($B$83:B83)</f>
        <v>-209102.46</v>
      </c>
      <c r="C84" s="200">
        <f>SUM($B$83:C83)</f>
        <v>-9478354.0300000012</v>
      </c>
      <c r="D84" s="200">
        <f>SUM($B$83:D83)</f>
        <v>-9478354.0300000012</v>
      </c>
      <c r="E84" s="200">
        <f>SUM($B$83:E83)</f>
        <v>-9478354.0300000012</v>
      </c>
      <c r="F84" s="200">
        <f>SUM($B$83:F83)</f>
        <v>-9478354.0300000012</v>
      </c>
      <c r="G84" s="200">
        <f>SUM($B$83:G83)</f>
        <v>-9478354.0300000012</v>
      </c>
      <c r="H84" s="200">
        <f>SUM($B$83:H83)</f>
        <v>-9645194.8830946386</v>
      </c>
      <c r="I84" s="200">
        <f>SUM($B$83:I83)</f>
        <v>-9645194.8830946386</v>
      </c>
      <c r="J84" s="200">
        <f>SUM($B$83:J83)</f>
        <v>-9645194.8830946386</v>
      </c>
      <c r="K84" s="200">
        <f>SUM($B$83:K83)</f>
        <v>-9645194.8830946386</v>
      </c>
      <c r="L84" s="200">
        <f>SUM($B$83:L83)</f>
        <v>-9645194.8830946386</v>
      </c>
      <c r="M84" s="200">
        <f>SUM($B$83:M83)</f>
        <v>-9645194.8830946386</v>
      </c>
      <c r="N84" s="200">
        <f>SUM($B$83:N83)</f>
        <v>-9861480.1535767075</v>
      </c>
      <c r="O84" s="200">
        <f>SUM($B$83:O83)</f>
        <v>-9861480.1535767075</v>
      </c>
      <c r="P84" s="200">
        <f>SUM($B$83:P83)</f>
        <v>-9861480.1535767075</v>
      </c>
      <c r="Q84" s="200">
        <f>SUM($B$83:Q83)</f>
        <v>-9861480.1535767075</v>
      </c>
      <c r="R84" s="200">
        <f>SUM($B$83:R83)</f>
        <v>-9861480.1535767075</v>
      </c>
      <c r="S84" s="200">
        <f>SUM($B$83:S83)</f>
        <v>-9861480.1535767075</v>
      </c>
      <c r="T84" s="200">
        <f>SUM($B$83:T83)</f>
        <v>-10141863.029591892</v>
      </c>
      <c r="U84" s="200">
        <f>SUM($B$83:U83)</f>
        <v>-10141863.029591892</v>
      </c>
      <c r="V84" s="200">
        <f>SUM($B$83:V83)</f>
        <v>-10141863.029591892</v>
      </c>
      <c r="W84" s="200">
        <f>SUM($B$83:W83)</f>
        <v>-10141863.029591892</v>
      </c>
      <c r="X84" s="200">
        <f>SUM($B$83:X83)</f>
        <v>-10141863.029591892</v>
      </c>
      <c r="Y84" s="200">
        <f>SUM($B$83:Y83)</f>
        <v>-10141863.029591892</v>
      </c>
      <c r="Z84" s="200">
        <f>SUM($B$83:Z83)</f>
        <v>-10505339.270888055</v>
      </c>
      <c r="AA84" s="200">
        <f>SUM($B$83:AA83)</f>
        <v>-10505339.270888055</v>
      </c>
      <c r="AB84" s="200">
        <f>SUM($B$83:AB83)</f>
        <v>-10505339.270888055</v>
      </c>
      <c r="AC84" s="200">
        <f>SUM($B$83:AC83)</f>
        <v>-10505339.270888055</v>
      </c>
      <c r="AD84" s="200">
        <f>SUM($B$83:AD83)</f>
        <v>-10505339.270888055</v>
      </c>
      <c r="AE84" s="200">
        <f>SUM($B$83:AE83)</f>
        <v>-10505339.270888055</v>
      </c>
      <c r="AF84" s="200">
        <f>SUM($B$83:AF83)</f>
        <v>-10976534.159336349</v>
      </c>
      <c r="AG84" s="200">
        <f>SUM($B$83:AG83)</f>
        <v>-10976534.159336349</v>
      </c>
      <c r="AH84" s="200">
        <f>SUM($B$83:AH83)</f>
        <v>-10976534.159336349</v>
      </c>
      <c r="AI84" s="200">
        <f>SUM($B$83:AI83)</f>
        <v>-10976534.159336349</v>
      </c>
      <c r="AJ84" s="200">
        <f>SUM($B$83:AJ83)</f>
        <v>-10976534.159336349</v>
      </c>
      <c r="AK84" s="200">
        <f>SUM($B$83:AK83)</f>
        <v>-10976534.159336349</v>
      </c>
      <c r="AL84" s="200">
        <f>SUM($B$83:AL83)</f>
        <v>-11587370.845960094</v>
      </c>
      <c r="AM84" s="200">
        <f>SUM($B$83:AM83)</f>
        <v>-11587370.845960094</v>
      </c>
      <c r="AN84" s="200">
        <f>SUM($B$83:AN83)</f>
        <v>-11587370.845960094</v>
      </c>
      <c r="AO84" s="200">
        <f>SUM($B$83:AO83)</f>
        <v>-11587370.845960094</v>
      </c>
      <c r="AP84" s="200">
        <f>SUM($B$83:AP83)</f>
        <v>-11587370.845960094</v>
      </c>
    </row>
    <row r="85" spans="1:45" x14ac:dyDescent="0.2">
      <c r="A85" s="160" t="s">
        <v>468</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59" t="s">
        <v>248</v>
      </c>
      <c r="B86" s="200">
        <f>B83*B85</f>
        <v>-196091.97125082638</v>
      </c>
      <c r="C86" s="200">
        <f>C83*C85</f>
        <v>-7644457.6651950274</v>
      </c>
      <c r="D86" s="200">
        <f t="shared" ref="D86:AO86" si="31">D83*D85</f>
        <v>0</v>
      </c>
      <c r="E86" s="200">
        <f t="shared" si="31"/>
        <v>0</v>
      </c>
      <c r="F86" s="200">
        <f t="shared" si="31"/>
        <v>0</v>
      </c>
      <c r="G86" s="200">
        <f t="shared" si="31"/>
        <v>0</v>
      </c>
      <c r="H86" s="200">
        <f t="shared" si="31"/>
        <v>-72378.756067352937</v>
      </c>
      <c r="I86" s="200">
        <f t="shared" si="31"/>
        <v>0</v>
      </c>
      <c r="J86" s="200">
        <f t="shared" si="31"/>
        <v>0</v>
      </c>
      <c r="K86" s="200">
        <f t="shared" si="31"/>
        <v>0</v>
      </c>
      <c r="L86" s="200">
        <f t="shared" si="31"/>
        <v>0</v>
      </c>
      <c r="M86" s="200">
        <f t="shared" si="31"/>
        <v>0</v>
      </c>
      <c r="N86" s="200">
        <f t="shared" si="31"/>
        <v>-43405.393709318239</v>
      </c>
      <c r="O86" s="200">
        <f t="shared" si="31"/>
        <v>0</v>
      </c>
      <c r="P86" s="200">
        <f t="shared" si="31"/>
        <v>0</v>
      </c>
      <c r="Q86" s="200">
        <f t="shared" si="31"/>
        <v>0</v>
      </c>
      <c r="R86" s="200">
        <f t="shared" si="31"/>
        <v>0</v>
      </c>
      <c r="S86" s="200">
        <f t="shared" si="31"/>
        <v>0</v>
      </c>
      <c r="T86" s="200">
        <f t="shared" si="31"/>
        <v>-26030.126869101157</v>
      </c>
      <c r="U86" s="200">
        <f t="shared" si="31"/>
        <v>0</v>
      </c>
      <c r="V86" s="200">
        <f t="shared" si="31"/>
        <v>0</v>
      </c>
      <c r="W86" s="200">
        <f t="shared" si="31"/>
        <v>0</v>
      </c>
      <c r="X86" s="200">
        <f t="shared" si="31"/>
        <v>0</v>
      </c>
      <c r="Y86" s="200">
        <f t="shared" si="31"/>
        <v>0</v>
      </c>
      <c r="Z86" s="200">
        <f t="shared" si="31"/>
        <v>-15610.214466872652</v>
      </c>
      <c r="AA86" s="200">
        <f t="shared" si="31"/>
        <v>0</v>
      </c>
      <c r="AB86" s="200">
        <f t="shared" si="31"/>
        <v>0</v>
      </c>
      <c r="AC86" s="200">
        <f t="shared" si="31"/>
        <v>0</v>
      </c>
      <c r="AD86" s="200">
        <f t="shared" si="31"/>
        <v>0</v>
      </c>
      <c r="AE86" s="200">
        <f t="shared" si="31"/>
        <v>0</v>
      </c>
      <c r="AF86" s="200">
        <f t="shared" si="31"/>
        <v>-9361.414061758449</v>
      </c>
      <c r="AG86" s="200">
        <f t="shared" si="31"/>
        <v>0</v>
      </c>
      <c r="AH86" s="200">
        <f t="shared" si="31"/>
        <v>0</v>
      </c>
      <c r="AI86" s="200">
        <f t="shared" si="31"/>
        <v>0</v>
      </c>
      <c r="AJ86" s="200">
        <f t="shared" si="31"/>
        <v>0</v>
      </c>
      <c r="AK86" s="200">
        <f t="shared" si="31"/>
        <v>0</v>
      </c>
      <c r="AL86" s="200">
        <f t="shared" si="31"/>
        <v>-5614.0210899514896</v>
      </c>
      <c r="AM86" s="200">
        <f t="shared" si="31"/>
        <v>0</v>
      </c>
      <c r="AN86" s="200">
        <f t="shared" si="31"/>
        <v>0</v>
      </c>
      <c r="AO86" s="200">
        <f t="shared" si="31"/>
        <v>0</v>
      </c>
      <c r="AP86" s="200">
        <f>AP83*AP85</f>
        <v>0</v>
      </c>
    </row>
    <row r="87" spans="1:45" ht="14.25" x14ac:dyDescent="0.2">
      <c r="A87" s="159" t="s">
        <v>247</v>
      </c>
      <c r="B87" s="200">
        <f>SUM($B$86:B86)</f>
        <v>-196091.97125082638</v>
      </c>
      <c r="C87" s="200">
        <f>SUM($B$86:C86)</f>
        <v>-7840549.6364458539</v>
      </c>
      <c r="D87" s="200">
        <f>SUM($B$86:D86)</f>
        <v>-7840549.6364458539</v>
      </c>
      <c r="E87" s="200">
        <f>SUM($B$86:E86)</f>
        <v>-7840549.6364458539</v>
      </c>
      <c r="F87" s="200">
        <f>SUM($B$86:F86)</f>
        <v>-7840549.6364458539</v>
      </c>
      <c r="G87" s="200">
        <f>SUM($B$86:G86)</f>
        <v>-7840549.6364458539</v>
      </c>
      <c r="H87" s="200">
        <f>SUM($B$86:H86)</f>
        <v>-7912928.3925132072</v>
      </c>
      <c r="I87" s="200">
        <f>SUM($B$86:I86)</f>
        <v>-7912928.3925132072</v>
      </c>
      <c r="J87" s="200">
        <f>SUM($B$86:J86)</f>
        <v>-7912928.3925132072</v>
      </c>
      <c r="K87" s="200">
        <f>SUM($B$86:K86)</f>
        <v>-7912928.3925132072</v>
      </c>
      <c r="L87" s="200">
        <f>SUM($B$86:L86)</f>
        <v>-7912928.3925132072</v>
      </c>
      <c r="M87" s="200">
        <f>SUM($B$86:M86)</f>
        <v>-7912928.3925132072</v>
      </c>
      <c r="N87" s="200">
        <f>SUM($B$86:N86)</f>
        <v>-7956333.7862225249</v>
      </c>
      <c r="O87" s="200">
        <f>SUM($B$86:O86)</f>
        <v>-7956333.7862225249</v>
      </c>
      <c r="P87" s="200">
        <f>SUM($B$86:P86)</f>
        <v>-7956333.7862225249</v>
      </c>
      <c r="Q87" s="200">
        <f>SUM($B$86:Q86)</f>
        <v>-7956333.7862225249</v>
      </c>
      <c r="R87" s="200">
        <f>SUM($B$86:R86)</f>
        <v>-7956333.7862225249</v>
      </c>
      <c r="S87" s="200">
        <f>SUM($B$86:S86)</f>
        <v>-7956333.7862225249</v>
      </c>
      <c r="T87" s="200">
        <f>SUM($B$86:T86)</f>
        <v>-7982363.913091626</v>
      </c>
      <c r="U87" s="200">
        <f>SUM($B$86:U86)</f>
        <v>-7982363.913091626</v>
      </c>
      <c r="V87" s="200">
        <f>SUM($B$86:V86)</f>
        <v>-7982363.913091626</v>
      </c>
      <c r="W87" s="200">
        <f>SUM($B$86:W86)</f>
        <v>-7982363.913091626</v>
      </c>
      <c r="X87" s="200">
        <f>SUM($B$86:X86)</f>
        <v>-7982363.913091626</v>
      </c>
      <c r="Y87" s="200">
        <f>SUM($B$86:Y86)</f>
        <v>-7982363.913091626</v>
      </c>
      <c r="Z87" s="200">
        <f>SUM($B$86:Z86)</f>
        <v>-7997974.1275584986</v>
      </c>
      <c r="AA87" s="200">
        <f>SUM($B$86:AA86)</f>
        <v>-7997974.1275584986</v>
      </c>
      <c r="AB87" s="200">
        <f>SUM($B$86:AB86)</f>
        <v>-7997974.1275584986</v>
      </c>
      <c r="AC87" s="200">
        <f>SUM($B$86:AC86)</f>
        <v>-7997974.1275584986</v>
      </c>
      <c r="AD87" s="200">
        <f>SUM($B$86:AD86)</f>
        <v>-7997974.1275584986</v>
      </c>
      <c r="AE87" s="200">
        <f>SUM($B$86:AE86)</f>
        <v>-7997974.1275584986</v>
      </c>
      <c r="AF87" s="200">
        <f>SUM($B$86:AF86)</f>
        <v>-8007335.5416202573</v>
      </c>
      <c r="AG87" s="200">
        <f>SUM($B$86:AG86)</f>
        <v>-8007335.5416202573</v>
      </c>
      <c r="AH87" s="200">
        <f>SUM($B$86:AH86)</f>
        <v>-8007335.5416202573</v>
      </c>
      <c r="AI87" s="200">
        <f>SUM($B$86:AI86)</f>
        <v>-8007335.5416202573</v>
      </c>
      <c r="AJ87" s="200">
        <f>SUM($B$86:AJ86)</f>
        <v>-8007335.5416202573</v>
      </c>
      <c r="AK87" s="200">
        <f>SUM($B$86:AK86)</f>
        <v>-8007335.5416202573</v>
      </c>
      <c r="AL87" s="200">
        <f>SUM($B$86:AL86)</f>
        <v>-8012949.5627102088</v>
      </c>
      <c r="AM87" s="200">
        <f>SUM($B$86:AM86)</f>
        <v>-8012949.5627102088</v>
      </c>
      <c r="AN87" s="200">
        <f>SUM($B$86:AN86)</f>
        <v>-8012949.5627102088</v>
      </c>
      <c r="AO87" s="200">
        <f>SUM($B$86:AO86)</f>
        <v>-8012949.5627102088</v>
      </c>
      <c r="AP87" s="200">
        <f>SUM($B$86:AP86)</f>
        <v>-8012949.5627102088</v>
      </c>
    </row>
    <row r="88" spans="1:45" ht="14.25" x14ac:dyDescent="0.2">
      <c r="A88" s="159"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0</v>
      </c>
      <c r="AO88" s="202">
        <f>IF((ISERR(IRR($B$83:AO83))),0,IF(IRR($B$83:AO83)&lt;0,0,IRR($B$83:AO83)))</f>
        <v>0</v>
      </c>
      <c r="AP88" s="202">
        <f>IF((ISERR(IRR($B$83:AP83))),0,IF(IRR($B$83:AP83)&lt;0,0,IRR($B$83:AP83)))</f>
        <v>0</v>
      </c>
    </row>
    <row r="89" spans="1:45" ht="14.25" x14ac:dyDescent="0.2">
      <c r="A89" s="159"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0</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7" customFormat="1" x14ac:dyDescent="0.2">
      <c r="A91" s="121"/>
      <c r="B91" s="170">
        <v>2024</v>
      </c>
      <c r="C91" s="170">
        <f>B91+1</f>
        <v>2025</v>
      </c>
      <c r="D91" s="106">
        <f t="shared" ref="D91:AP91" si="34">C91+1</f>
        <v>2026</v>
      </c>
      <c r="E91" s="106">
        <f t="shared" si="34"/>
        <v>2027</v>
      </c>
      <c r="F91" s="106">
        <f t="shared" si="34"/>
        <v>2028</v>
      </c>
      <c r="G91" s="106">
        <f t="shared" si="34"/>
        <v>2029</v>
      </c>
      <c r="H91" s="106">
        <f t="shared" si="34"/>
        <v>2030</v>
      </c>
      <c r="I91" s="106">
        <f t="shared" si="34"/>
        <v>2031</v>
      </c>
      <c r="J91" s="106">
        <f t="shared" si="34"/>
        <v>2032</v>
      </c>
      <c r="K91" s="106">
        <f t="shared" si="34"/>
        <v>2033</v>
      </c>
      <c r="L91" s="106">
        <f t="shared" si="34"/>
        <v>2034</v>
      </c>
      <c r="M91" s="106">
        <f t="shared" si="34"/>
        <v>2035</v>
      </c>
      <c r="N91" s="106">
        <f t="shared" si="34"/>
        <v>2036</v>
      </c>
      <c r="O91" s="106">
        <f t="shared" si="34"/>
        <v>2037</v>
      </c>
      <c r="P91" s="106">
        <f t="shared" si="34"/>
        <v>2038</v>
      </c>
      <c r="Q91" s="106">
        <f t="shared" si="34"/>
        <v>2039</v>
      </c>
      <c r="R91" s="106">
        <f t="shared" si="34"/>
        <v>2040</v>
      </c>
      <c r="S91" s="106">
        <f t="shared" si="34"/>
        <v>2041</v>
      </c>
      <c r="T91" s="106">
        <f t="shared" si="34"/>
        <v>2042</v>
      </c>
      <c r="U91" s="106">
        <f t="shared" si="34"/>
        <v>2043</v>
      </c>
      <c r="V91" s="106">
        <f t="shared" si="34"/>
        <v>2044</v>
      </c>
      <c r="W91" s="106">
        <f t="shared" si="34"/>
        <v>2045</v>
      </c>
      <c r="X91" s="106">
        <f t="shared" si="34"/>
        <v>2046</v>
      </c>
      <c r="Y91" s="106">
        <f t="shared" si="34"/>
        <v>2047</v>
      </c>
      <c r="Z91" s="106">
        <f t="shared" si="34"/>
        <v>2048</v>
      </c>
      <c r="AA91" s="106">
        <f t="shared" si="34"/>
        <v>2049</v>
      </c>
      <c r="AB91" s="106">
        <f t="shared" si="34"/>
        <v>2050</v>
      </c>
      <c r="AC91" s="106">
        <f t="shared" si="34"/>
        <v>2051</v>
      </c>
      <c r="AD91" s="106">
        <f t="shared" si="34"/>
        <v>2052</v>
      </c>
      <c r="AE91" s="106">
        <f t="shared" si="34"/>
        <v>2053</v>
      </c>
      <c r="AF91" s="106">
        <f t="shared" si="34"/>
        <v>2054</v>
      </c>
      <c r="AG91" s="106">
        <f t="shared" si="34"/>
        <v>2055</v>
      </c>
      <c r="AH91" s="106">
        <f t="shared" si="34"/>
        <v>2056</v>
      </c>
      <c r="AI91" s="106">
        <f t="shared" si="34"/>
        <v>2057</v>
      </c>
      <c r="AJ91" s="106">
        <f t="shared" si="34"/>
        <v>2058</v>
      </c>
      <c r="AK91" s="106">
        <f t="shared" si="34"/>
        <v>2059</v>
      </c>
      <c r="AL91" s="106">
        <f t="shared" si="34"/>
        <v>2060</v>
      </c>
      <c r="AM91" s="106">
        <f t="shared" si="34"/>
        <v>2061</v>
      </c>
      <c r="AN91" s="106">
        <f t="shared" si="34"/>
        <v>2062</v>
      </c>
      <c r="AO91" s="106">
        <f t="shared" si="34"/>
        <v>2063</v>
      </c>
      <c r="AP91" s="106">
        <f t="shared" si="34"/>
        <v>2064</v>
      </c>
      <c r="AQ91" s="107"/>
      <c r="AR91" s="107"/>
      <c r="AS91" s="107"/>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44" t="s">
        <v>469</v>
      </c>
      <c r="B97" s="544"/>
      <c r="C97" s="544"/>
      <c r="D97" s="544"/>
      <c r="E97" s="544"/>
      <c r="F97" s="544"/>
      <c r="G97" s="544"/>
      <c r="H97" s="544"/>
      <c r="I97" s="544"/>
      <c r="J97" s="544"/>
      <c r="K97" s="544"/>
      <c r="L97" s="544"/>
      <c r="M97" s="162"/>
      <c r="N97" s="162"/>
      <c r="O97" s="162"/>
      <c r="P97" s="162"/>
      <c r="Q97" s="162"/>
      <c r="R97" s="162"/>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row>
    <row r="98" spans="1:71" ht="16.5" hidden="1" thickBot="1" x14ac:dyDescent="0.25">
      <c r="C98" s="173"/>
    </row>
    <row r="99" spans="1:71" s="179" customFormat="1" ht="16.5" hidden="1" thickTop="1" x14ac:dyDescent="0.2">
      <c r="A99" s="174" t="s">
        <v>470</v>
      </c>
      <c r="B99" s="175">
        <f>B81*B85</f>
        <v>-196091.97125082638</v>
      </c>
      <c r="C99" s="176">
        <f>C81*C85</f>
        <v>-7644457.6651950274</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-7840549.6364458539</v>
      </c>
      <c r="AR99" s="178"/>
      <c r="AS99" s="178"/>
    </row>
    <row r="100" spans="1:71" s="182" customFormat="1" hidden="1" x14ac:dyDescent="0.2">
      <c r="A100" s="180">
        <f>AQ99</f>
        <v>-7840549.6364458539</v>
      </c>
      <c r="B100" s="181"/>
      <c r="C100" s="144"/>
      <c r="D100" s="144"/>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4"/>
      <c r="AB100" s="144"/>
      <c r="AC100" s="144"/>
      <c r="AD100" s="144"/>
      <c r="AE100" s="144"/>
      <c r="AF100" s="144"/>
      <c r="AG100" s="144"/>
      <c r="AH100" s="144"/>
      <c r="AI100" s="144"/>
      <c r="AJ100" s="144"/>
      <c r="AK100" s="144"/>
      <c r="AL100" s="144"/>
      <c r="AM100" s="144"/>
      <c r="AN100" s="144"/>
      <c r="AO100" s="144"/>
      <c r="AP100" s="144"/>
      <c r="AQ100" s="107"/>
      <c r="AR100" s="107"/>
      <c r="AS100" s="107"/>
    </row>
    <row r="101" spans="1:71" s="182" customFormat="1" hidden="1" x14ac:dyDescent="0.2">
      <c r="A101" s="180">
        <f>AP87</f>
        <v>-8012949.5627102088</v>
      </c>
      <c r="B101" s="181"/>
      <c r="C101" s="144"/>
      <c r="D101" s="144"/>
      <c r="E101" s="144"/>
      <c r="F101" s="144"/>
      <c r="G101" s="144"/>
      <c r="H101" s="144"/>
      <c r="I101" s="144"/>
      <c r="J101" s="144"/>
      <c r="K101" s="144"/>
      <c r="L101" s="144"/>
      <c r="M101" s="144"/>
      <c r="N101" s="144"/>
      <c r="O101" s="144"/>
      <c r="P101" s="144"/>
      <c r="Q101" s="144"/>
      <c r="R101" s="144"/>
      <c r="S101" s="144"/>
      <c r="T101" s="144"/>
      <c r="U101" s="144"/>
      <c r="V101" s="144"/>
      <c r="W101" s="144"/>
      <c r="X101" s="144"/>
      <c r="Y101" s="144"/>
      <c r="Z101" s="144"/>
      <c r="AA101" s="144"/>
      <c r="AB101" s="144"/>
      <c r="AC101" s="144"/>
      <c r="AD101" s="144"/>
      <c r="AE101" s="144"/>
      <c r="AF101" s="144"/>
      <c r="AG101" s="144"/>
      <c r="AH101" s="144"/>
      <c r="AI101" s="144"/>
      <c r="AJ101" s="144"/>
      <c r="AK101" s="144"/>
      <c r="AL101" s="144"/>
      <c r="AM101" s="144"/>
      <c r="AN101" s="144"/>
      <c r="AO101" s="144"/>
      <c r="AP101" s="144"/>
      <c r="AQ101" s="107"/>
      <c r="AR101" s="107"/>
      <c r="AS101" s="107"/>
    </row>
    <row r="102" spans="1:71" s="182" customFormat="1" hidden="1" x14ac:dyDescent="0.2">
      <c r="A102" s="183" t="s">
        <v>471</v>
      </c>
      <c r="B102" s="204">
        <f>(A101+-A100)/-A100</f>
        <v>-2.1988244990245914E-2</v>
      </c>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c r="AK102" s="144"/>
      <c r="AL102" s="144"/>
      <c r="AM102" s="144"/>
      <c r="AN102" s="144"/>
      <c r="AO102" s="144"/>
      <c r="AP102" s="144"/>
      <c r="AQ102" s="107"/>
      <c r="AR102" s="107"/>
      <c r="AS102" s="107"/>
    </row>
    <row r="103" spans="1:71" s="182" customFormat="1" hidden="1" x14ac:dyDescent="0.2">
      <c r="A103" s="184"/>
      <c r="B103" s="144"/>
      <c r="C103" s="144"/>
      <c r="D103" s="144"/>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4"/>
      <c r="AB103" s="144"/>
      <c r="AC103" s="144"/>
      <c r="AD103" s="144"/>
      <c r="AE103" s="144"/>
      <c r="AF103" s="144"/>
      <c r="AG103" s="144"/>
      <c r="AH103" s="144"/>
      <c r="AI103" s="144"/>
      <c r="AJ103" s="144"/>
      <c r="AK103" s="144"/>
      <c r="AL103" s="144"/>
      <c r="AM103" s="144"/>
      <c r="AN103" s="144"/>
      <c r="AO103" s="144"/>
      <c r="AP103" s="144"/>
      <c r="AQ103" s="107"/>
      <c r="AR103" s="107"/>
      <c r="AS103" s="107"/>
    </row>
    <row r="104" spans="1:71" ht="12.75" hidden="1" x14ac:dyDescent="0.2">
      <c r="A104" s="205" t="s">
        <v>472</v>
      </c>
      <c r="B104" s="205" t="s">
        <v>473</v>
      </c>
      <c r="C104" s="205" t="s">
        <v>474</v>
      </c>
      <c r="D104" s="205" t="s">
        <v>475</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-7.9129283925132068</v>
      </c>
      <c r="B105" s="207">
        <f>L88</f>
        <v>0</v>
      </c>
      <c r="C105" s="208" t="str">
        <f>G28</f>
        <v>не окупается</v>
      </c>
      <c r="D105" s="208" t="str">
        <f>G29</f>
        <v>не окупается</v>
      </c>
      <c r="E105" s="187" t="s">
        <v>476</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374" t="s">
        <v>584</v>
      </c>
      <c r="B108" s="213"/>
      <c r="C108" s="213">
        <f>C111*$B$113*$B$114*1000</f>
        <v>0</v>
      </c>
      <c r="D108" s="213">
        <f t="shared" ref="D108:AP108" si="37">D111*$B$113*$B$114*1000</f>
        <v>0</v>
      </c>
      <c r="E108" s="213">
        <f>E111*$B$113*$B$114*1000</f>
        <v>0</v>
      </c>
      <c r="F108" s="213">
        <f t="shared" si="37"/>
        <v>0</v>
      </c>
      <c r="G108" s="213">
        <f t="shared" si="37"/>
        <v>0</v>
      </c>
      <c r="H108" s="213">
        <f t="shared" si="37"/>
        <v>0</v>
      </c>
      <c r="I108" s="213">
        <f t="shared" si="37"/>
        <v>0</v>
      </c>
      <c r="J108" s="213">
        <f t="shared" si="37"/>
        <v>0</v>
      </c>
      <c r="K108" s="213">
        <f t="shared" si="37"/>
        <v>0</v>
      </c>
      <c r="L108" s="213">
        <f t="shared" si="37"/>
        <v>0</v>
      </c>
      <c r="M108" s="213">
        <f t="shared" si="37"/>
        <v>0</v>
      </c>
      <c r="N108" s="213">
        <f t="shared" si="37"/>
        <v>0</v>
      </c>
      <c r="O108" s="213">
        <f t="shared" si="37"/>
        <v>0</v>
      </c>
      <c r="P108" s="213">
        <f t="shared" si="37"/>
        <v>0</v>
      </c>
      <c r="Q108" s="213">
        <f t="shared" si="37"/>
        <v>0</v>
      </c>
      <c r="R108" s="213">
        <f t="shared" si="37"/>
        <v>0</v>
      </c>
      <c r="S108" s="213">
        <f t="shared" si="37"/>
        <v>0</v>
      </c>
      <c r="T108" s="213">
        <f t="shared" si="37"/>
        <v>0</v>
      </c>
      <c r="U108" s="213">
        <f t="shared" si="37"/>
        <v>0</v>
      </c>
      <c r="V108" s="213">
        <f t="shared" si="37"/>
        <v>0</v>
      </c>
      <c r="W108" s="213">
        <f t="shared" si="37"/>
        <v>0</v>
      </c>
      <c r="X108" s="213">
        <f t="shared" si="37"/>
        <v>0</v>
      </c>
      <c r="Y108" s="213">
        <f t="shared" si="37"/>
        <v>0</v>
      </c>
      <c r="Z108" s="213">
        <f t="shared" si="37"/>
        <v>0</v>
      </c>
      <c r="AA108" s="213">
        <f t="shared" si="37"/>
        <v>0</v>
      </c>
      <c r="AB108" s="213">
        <f t="shared" si="37"/>
        <v>0</v>
      </c>
      <c r="AC108" s="213">
        <f t="shared" si="37"/>
        <v>0</v>
      </c>
      <c r="AD108" s="213">
        <f t="shared" si="37"/>
        <v>0</v>
      </c>
      <c r="AE108" s="213">
        <f t="shared" si="37"/>
        <v>0</v>
      </c>
      <c r="AF108" s="213">
        <f t="shared" si="37"/>
        <v>0</v>
      </c>
      <c r="AG108" s="213">
        <f t="shared" si="37"/>
        <v>0</v>
      </c>
      <c r="AH108" s="213">
        <f t="shared" si="37"/>
        <v>0</v>
      </c>
      <c r="AI108" s="213">
        <f t="shared" si="37"/>
        <v>0</v>
      </c>
      <c r="AJ108" s="213">
        <f t="shared" si="37"/>
        <v>0</v>
      </c>
      <c r="AK108" s="213">
        <f t="shared" si="37"/>
        <v>0</v>
      </c>
      <c r="AL108" s="213">
        <f t="shared" si="37"/>
        <v>0</v>
      </c>
      <c r="AM108" s="213">
        <f t="shared" si="37"/>
        <v>0</v>
      </c>
      <c r="AN108" s="213">
        <f t="shared" si="37"/>
        <v>0</v>
      </c>
      <c r="AO108" s="213">
        <f t="shared" si="37"/>
        <v>0</v>
      </c>
      <c r="AP108" s="213">
        <f t="shared" si="37"/>
        <v>0</v>
      </c>
      <c r="AT108" s="182"/>
      <c r="AU108" s="182"/>
      <c r="AV108" s="182"/>
      <c r="AW108" s="182"/>
      <c r="AX108" s="182"/>
      <c r="AY108" s="182"/>
      <c r="AZ108" s="182"/>
      <c r="BA108" s="182"/>
      <c r="BB108" s="182"/>
      <c r="BC108" s="182"/>
      <c r="BD108" s="182"/>
      <c r="BE108" s="182"/>
      <c r="BF108" s="182"/>
      <c r="BG108" s="182"/>
    </row>
    <row r="109" spans="1:71" ht="25.5" hidden="1" x14ac:dyDescent="0.2">
      <c r="A109" s="374" t="s">
        <v>586</v>
      </c>
      <c r="B109" s="376"/>
      <c r="C109" s="376"/>
      <c r="D109" s="376">
        <f>D114*$D$120</f>
        <v>57836.506463999998</v>
      </c>
      <c r="E109" s="376">
        <f t="shared" ref="E109:AP109" si="38">E114*$D$120</f>
        <v>60836.708015999997</v>
      </c>
      <c r="F109" s="376">
        <f t="shared" si="38"/>
        <v>63300.291263999992</v>
      </c>
      <c r="G109" s="376">
        <f t="shared" si="38"/>
        <v>65832.387119999999</v>
      </c>
      <c r="H109" s="376">
        <f t="shared" si="38"/>
        <v>65832.387119999999</v>
      </c>
      <c r="I109" s="376">
        <f t="shared" si="38"/>
        <v>65832.387119999999</v>
      </c>
      <c r="J109" s="376">
        <f t="shared" si="38"/>
        <v>65832.387119999999</v>
      </c>
      <c r="K109" s="376">
        <f t="shared" si="38"/>
        <v>65832.387119999999</v>
      </c>
      <c r="L109" s="376">
        <f t="shared" si="38"/>
        <v>65832.387119999999</v>
      </c>
      <c r="M109" s="376">
        <f t="shared" si="38"/>
        <v>65832.387119999999</v>
      </c>
      <c r="N109" s="376">
        <f t="shared" si="38"/>
        <v>65832.387119999999</v>
      </c>
      <c r="O109" s="376">
        <f t="shared" si="38"/>
        <v>65832.387119999999</v>
      </c>
      <c r="P109" s="376">
        <f t="shared" si="38"/>
        <v>65832.387119999999</v>
      </c>
      <c r="Q109" s="376">
        <f t="shared" si="38"/>
        <v>65832.387119999999</v>
      </c>
      <c r="R109" s="376">
        <f t="shared" si="38"/>
        <v>65832.387119999999</v>
      </c>
      <c r="S109" s="376">
        <f t="shared" si="38"/>
        <v>65832.387119999999</v>
      </c>
      <c r="T109" s="376">
        <f t="shared" si="38"/>
        <v>65832.387119999999</v>
      </c>
      <c r="U109" s="376">
        <f t="shared" si="38"/>
        <v>65832.387119999999</v>
      </c>
      <c r="V109" s="376">
        <f t="shared" si="38"/>
        <v>65832.387119999999</v>
      </c>
      <c r="W109" s="376">
        <f t="shared" si="38"/>
        <v>65832.387119999999</v>
      </c>
      <c r="X109" s="376">
        <f t="shared" si="38"/>
        <v>65832.387119999999</v>
      </c>
      <c r="Y109" s="376">
        <f t="shared" si="38"/>
        <v>65832.387119999999</v>
      </c>
      <c r="Z109" s="376">
        <f t="shared" si="38"/>
        <v>65832.387119999999</v>
      </c>
      <c r="AA109" s="376">
        <f t="shared" si="38"/>
        <v>65832.387119999999</v>
      </c>
      <c r="AB109" s="376">
        <f t="shared" si="38"/>
        <v>65832.387119999999</v>
      </c>
      <c r="AC109" s="376">
        <f t="shared" si="38"/>
        <v>65832.387119999999</v>
      </c>
      <c r="AD109" s="376">
        <f t="shared" si="38"/>
        <v>65832.387119999999</v>
      </c>
      <c r="AE109" s="376">
        <f t="shared" si="38"/>
        <v>65832.387119999999</v>
      </c>
      <c r="AF109" s="376">
        <f t="shared" si="38"/>
        <v>65832.387119999999</v>
      </c>
      <c r="AG109" s="376">
        <f t="shared" si="38"/>
        <v>65832.387119999999</v>
      </c>
      <c r="AH109" s="376">
        <f t="shared" si="38"/>
        <v>65832.387119999999</v>
      </c>
      <c r="AI109" s="376">
        <f t="shared" si="38"/>
        <v>65832.387119999999</v>
      </c>
      <c r="AJ109" s="376">
        <f t="shared" si="38"/>
        <v>65832.387119999999</v>
      </c>
      <c r="AK109" s="376">
        <f t="shared" si="38"/>
        <v>65832.387119999999</v>
      </c>
      <c r="AL109" s="376">
        <f t="shared" si="38"/>
        <v>65832.387119999999</v>
      </c>
      <c r="AM109" s="376">
        <f t="shared" si="38"/>
        <v>65832.387119999999</v>
      </c>
      <c r="AN109" s="376">
        <f t="shared" si="38"/>
        <v>65832.387119999999</v>
      </c>
      <c r="AO109" s="376">
        <f t="shared" si="38"/>
        <v>65832.387119999999</v>
      </c>
      <c r="AP109" s="376">
        <f t="shared" si="38"/>
        <v>65832.387119999999</v>
      </c>
      <c r="AT109" s="182"/>
      <c r="AU109" s="182"/>
      <c r="AV109" s="182"/>
      <c r="AW109" s="182"/>
      <c r="AX109" s="182"/>
      <c r="AY109" s="182"/>
      <c r="AZ109" s="182"/>
      <c r="BA109" s="182"/>
      <c r="BB109" s="182"/>
      <c r="BC109" s="182"/>
      <c r="BD109" s="182"/>
      <c r="BE109" s="182"/>
      <c r="BF109" s="182"/>
      <c r="BG109" s="182"/>
    </row>
    <row r="110" spans="1:71" ht="25.5" hidden="1" x14ac:dyDescent="0.2">
      <c r="A110" s="374" t="s">
        <v>585</v>
      </c>
      <c r="B110" s="376"/>
      <c r="C110" s="376"/>
      <c r="D110" s="376">
        <f>0.10721313063428*1000000</f>
        <v>107213.13063427999</v>
      </c>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182"/>
      <c r="AU110" s="182"/>
      <c r="AV110" s="182"/>
      <c r="AW110" s="182"/>
      <c r="AX110" s="182"/>
      <c r="AY110" s="182"/>
      <c r="AZ110" s="182"/>
      <c r="BA110" s="182"/>
      <c r="BB110" s="182"/>
      <c r="BC110" s="182"/>
      <c r="BD110" s="182"/>
      <c r="BE110" s="182"/>
      <c r="BF110" s="182"/>
      <c r="BG110" s="182"/>
    </row>
    <row r="111" spans="1:71" ht="12.75" hidden="1" x14ac:dyDescent="0.2">
      <c r="A111" s="212" t="s">
        <v>477</v>
      </c>
      <c r="B111" s="211"/>
      <c r="C111" s="211">
        <f>B111+$I$123*C115</f>
        <v>0</v>
      </c>
      <c r="D111" s="211">
        <f>C111+$I$123*D115</f>
        <v>0</v>
      </c>
      <c r="E111" s="211">
        <f t="shared" ref="E111:AP111" si="39">D111+$I$123*E115</f>
        <v>0</v>
      </c>
      <c r="F111" s="211">
        <f t="shared" si="39"/>
        <v>0</v>
      </c>
      <c r="G111" s="211">
        <f t="shared" si="39"/>
        <v>0</v>
      </c>
      <c r="H111" s="211">
        <f t="shared" si="39"/>
        <v>0</v>
      </c>
      <c r="I111" s="211">
        <f t="shared" si="39"/>
        <v>0</v>
      </c>
      <c r="J111" s="211">
        <f t="shared" si="39"/>
        <v>0</v>
      </c>
      <c r="K111" s="211">
        <f t="shared" si="39"/>
        <v>0</v>
      </c>
      <c r="L111" s="211">
        <f t="shared" si="39"/>
        <v>0</v>
      </c>
      <c r="M111" s="211">
        <f t="shared" si="39"/>
        <v>0</v>
      </c>
      <c r="N111" s="211">
        <f t="shared" si="39"/>
        <v>0</v>
      </c>
      <c r="O111" s="211">
        <f t="shared" si="39"/>
        <v>0</v>
      </c>
      <c r="P111" s="211">
        <f t="shared" si="39"/>
        <v>0</v>
      </c>
      <c r="Q111" s="211">
        <f t="shared" si="39"/>
        <v>0</v>
      </c>
      <c r="R111" s="211">
        <f t="shared" si="39"/>
        <v>0</v>
      </c>
      <c r="S111" s="211">
        <f t="shared" si="39"/>
        <v>0</v>
      </c>
      <c r="T111" s="211">
        <f t="shared" si="39"/>
        <v>0</v>
      </c>
      <c r="U111" s="211">
        <f t="shared" si="39"/>
        <v>0</v>
      </c>
      <c r="V111" s="211">
        <f t="shared" si="39"/>
        <v>0</v>
      </c>
      <c r="W111" s="211">
        <f t="shared" si="39"/>
        <v>0</v>
      </c>
      <c r="X111" s="211">
        <f t="shared" si="39"/>
        <v>0</v>
      </c>
      <c r="Y111" s="211">
        <f t="shared" si="39"/>
        <v>0</v>
      </c>
      <c r="Z111" s="211">
        <f t="shared" si="39"/>
        <v>0</v>
      </c>
      <c r="AA111" s="211">
        <f t="shared" si="39"/>
        <v>0</v>
      </c>
      <c r="AB111" s="211">
        <f t="shared" si="39"/>
        <v>0</v>
      </c>
      <c r="AC111" s="211">
        <f t="shared" si="39"/>
        <v>0</v>
      </c>
      <c r="AD111" s="211">
        <f t="shared" si="39"/>
        <v>0</v>
      </c>
      <c r="AE111" s="211">
        <f t="shared" si="39"/>
        <v>0</v>
      </c>
      <c r="AF111" s="211">
        <f t="shared" si="39"/>
        <v>0</v>
      </c>
      <c r="AG111" s="211">
        <f t="shared" si="39"/>
        <v>0</v>
      </c>
      <c r="AH111" s="211">
        <f t="shared" si="39"/>
        <v>0</v>
      </c>
      <c r="AI111" s="211">
        <f t="shared" si="39"/>
        <v>0</v>
      </c>
      <c r="AJ111" s="211">
        <f t="shared" si="39"/>
        <v>0</v>
      </c>
      <c r="AK111" s="211">
        <f t="shared" si="39"/>
        <v>0</v>
      </c>
      <c r="AL111" s="211">
        <f t="shared" si="39"/>
        <v>0</v>
      </c>
      <c r="AM111" s="211">
        <f t="shared" si="39"/>
        <v>0</v>
      </c>
      <c r="AN111" s="211">
        <f t="shared" si="39"/>
        <v>0</v>
      </c>
      <c r="AO111" s="211">
        <f t="shared" si="39"/>
        <v>0</v>
      </c>
      <c r="AP111" s="211">
        <f t="shared" si="39"/>
        <v>0</v>
      </c>
      <c r="AT111" s="182"/>
      <c r="AU111" s="182"/>
      <c r="AV111" s="182"/>
      <c r="AW111" s="182"/>
      <c r="AX111" s="182"/>
      <c r="AY111" s="182"/>
      <c r="AZ111" s="182"/>
      <c r="BA111" s="182"/>
      <c r="BB111" s="182"/>
      <c r="BC111" s="182"/>
      <c r="BD111" s="182"/>
      <c r="BE111" s="182"/>
      <c r="BF111" s="182"/>
      <c r="BG111" s="182"/>
    </row>
    <row r="112" spans="1:71" ht="12.75" hidden="1" x14ac:dyDescent="0.2">
      <c r="A112" s="212" t="s">
        <v>478</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479</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212" t="s">
        <v>480</v>
      </c>
      <c r="B114" s="372">
        <v>2449.0500000000002</v>
      </c>
      <c r="C114" s="372">
        <v>2750.9</v>
      </c>
      <c r="D114" s="372">
        <v>3022.14</v>
      </c>
      <c r="E114" s="372">
        <v>3178.91</v>
      </c>
      <c r="F114" s="372">
        <v>3307.64</v>
      </c>
      <c r="G114" s="372">
        <v>3439.95</v>
      </c>
      <c r="H114" s="372">
        <f>G114</f>
        <v>3439.95</v>
      </c>
      <c r="I114" s="372">
        <f t="shared" ref="I114:BI114" si="40">H114</f>
        <v>3439.95</v>
      </c>
      <c r="J114" s="372">
        <f t="shared" si="40"/>
        <v>3439.95</v>
      </c>
      <c r="K114" s="372">
        <f t="shared" si="40"/>
        <v>3439.95</v>
      </c>
      <c r="L114" s="372">
        <f t="shared" si="40"/>
        <v>3439.95</v>
      </c>
      <c r="M114" s="372">
        <f t="shared" si="40"/>
        <v>3439.95</v>
      </c>
      <c r="N114" s="372">
        <f t="shared" si="40"/>
        <v>3439.95</v>
      </c>
      <c r="O114" s="372">
        <f t="shared" si="40"/>
        <v>3439.95</v>
      </c>
      <c r="P114" s="372">
        <f t="shared" si="40"/>
        <v>3439.95</v>
      </c>
      <c r="Q114" s="372">
        <f t="shared" si="40"/>
        <v>3439.95</v>
      </c>
      <c r="R114" s="372">
        <f t="shared" si="40"/>
        <v>3439.95</v>
      </c>
      <c r="S114" s="372">
        <f t="shared" si="40"/>
        <v>3439.95</v>
      </c>
      <c r="T114" s="372">
        <f t="shared" si="40"/>
        <v>3439.95</v>
      </c>
      <c r="U114" s="372">
        <f t="shared" si="40"/>
        <v>3439.95</v>
      </c>
      <c r="V114" s="372">
        <f t="shared" si="40"/>
        <v>3439.95</v>
      </c>
      <c r="W114" s="372">
        <f t="shared" si="40"/>
        <v>3439.95</v>
      </c>
      <c r="X114" s="372">
        <f t="shared" si="40"/>
        <v>3439.95</v>
      </c>
      <c r="Y114" s="372">
        <f t="shared" si="40"/>
        <v>3439.95</v>
      </c>
      <c r="Z114" s="372">
        <f t="shared" si="40"/>
        <v>3439.95</v>
      </c>
      <c r="AA114" s="372">
        <f t="shared" si="40"/>
        <v>3439.95</v>
      </c>
      <c r="AB114" s="372">
        <f t="shared" si="40"/>
        <v>3439.95</v>
      </c>
      <c r="AC114" s="372">
        <f t="shared" si="40"/>
        <v>3439.95</v>
      </c>
      <c r="AD114" s="372">
        <f t="shared" si="40"/>
        <v>3439.95</v>
      </c>
      <c r="AE114" s="372">
        <f t="shared" si="40"/>
        <v>3439.95</v>
      </c>
      <c r="AF114" s="372">
        <f t="shared" si="40"/>
        <v>3439.95</v>
      </c>
      <c r="AG114" s="372">
        <f t="shared" si="40"/>
        <v>3439.95</v>
      </c>
      <c r="AH114" s="372">
        <f t="shared" si="40"/>
        <v>3439.95</v>
      </c>
      <c r="AI114" s="372">
        <f t="shared" si="40"/>
        <v>3439.95</v>
      </c>
      <c r="AJ114" s="372">
        <f t="shared" si="40"/>
        <v>3439.95</v>
      </c>
      <c r="AK114" s="372">
        <f t="shared" si="40"/>
        <v>3439.95</v>
      </c>
      <c r="AL114" s="372">
        <f t="shared" si="40"/>
        <v>3439.95</v>
      </c>
      <c r="AM114" s="372">
        <f t="shared" si="40"/>
        <v>3439.95</v>
      </c>
      <c r="AN114" s="372">
        <f t="shared" si="40"/>
        <v>3439.95</v>
      </c>
      <c r="AO114" s="372">
        <f t="shared" si="40"/>
        <v>3439.95</v>
      </c>
      <c r="AP114" s="372">
        <f t="shared" si="40"/>
        <v>3439.95</v>
      </c>
      <c r="AQ114" s="372">
        <f t="shared" si="40"/>
        <v>3439.95</v>
      </c>
      <c r="AR114" s="372">
        <f t="shared" si="40"/>
        <v>3439.95</v>
      </c>
      <c r="AS114" s="372">
        <f t="shared" si="40"/>
        <v>3439.95</v>
      </c>
      <c r="AT114" s="372">
        <f t="shared" si="40"/>
        <v>3439.95</v>
      </c>
      <c r="AU114" s="372">
        <f t="shared" si="40"/>
        <v>3439.95</v>
      </c>
      <c r="AV114" s="372">
        <f t="shared" si="40"/>
        <v>3439.95</v>
      </c>
      <c r="AW114" s="372">
        <f t="shared" si="40"/>
        <v>3439.95</v>
      </c>
      <c r="AX114" s="372">
        <f t="shared" si="40"/>
        <v>3439.95</v>
      </c>
      <c r="AY114" s="372">
        <f t="shared" si="40"/>
        <v>3439.95</v>
      </c>
      <c r="AZ114" s="372">
        <f t="shared" si="40"/>
        <v>3439.95</v>
      </c>
      <c r="BA114" s="372">
        <f t="shared" si="40"/>
        <v>3439.95</v>
      </c>
      <c r="BB114" s="372">
        <f t="shared" si="40"/>
        <v>3439.95</v>
      </c>
      <c r="BC114" s="372">
        <f t="shared" si="40"/>
        <v>3439.95</v>
      </c>
      <c r="BD114" s="372">
        <f t="shared" si="40"/>
        <v>3439.95</v>
      </c>
      <c r="BE114" s="372">
        <f t="shared" si="40"/>
        <v>3439.95</v>
      </c>
      <c r="BF114" s="372">
        <f t="shared" si="40"/>
        <v>3439.95</v>
      </c>
      <c r="BG114" s="372">
        <f t="shared" si="40"/>
        <v>3439.95</v>
      </c>
      <c r="BH114" s="372">
        <f t="shared" si="40"/>
        <v>3439.95</v>
      </c>
      <c r="BI114" s="372">
        <f t="shared" si="40"/>
        <v>3439.95</v>
      </c>
    </row>
    <row r="115" spans="1:71" ht="15" hidden="1" x14ac:dyDescent="0.2">
      <c r="A115" s="215" t="s">
        <v>481</v>
      </c>
      <c r="B115" s="216">
        <v>0</v>
      </c>
      <c r="C115" s="217">
        <v>0.33</v>
      </c>
      <c r="D115" s="217">
        <v>0.33</v>
      </c>
      <c r="E115" s="217">
        <v>0.34</v>
      </c>
      <c r="F115" s="216">
        <v>0</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31" t="s">
        <v>482</v>
      </c>
      <c r="C118" s="532"/>
      <c r="D118" s="531" t="s">
        <v>483</v>
      </c>
      <c r="E118" s="532"/>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2" t="s">
        <v>484</v>
      </c>
      <c r="B119" s="218">
        <f>'3.1. паспорт Техсостояние ПС'!N25</f>
        <v>0.25</v>
      </c>
      <c r="C119" s="209" t="s">
        <v>485</v>
      </c>
      <c r="D119" s="357">
        <f>'3.1. паспорт Техсостояние ПС'!O25</f>
        <v>0.25</v>
      </c>
      <c r="E119" s="209" t="s">
        <v>485</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2.75" hidden="1" x14ac:dyDescent="0.2">
      <c r="A120" s="374" t="s">
        <v>582</v>
      </c>
      <c r="B120" s="375"/>
      <c r="C120" s="375"/>
      <c r="D120" s="377">
        <v>19.137599999999999</v>
      </c>
      <c r="E120" s="375" t="s">
        <v>583</v>
      </c>
      <c r="F120" s="373"/>
      <c r="G120" s="373"/>
      <c r="H120" s="373"/>
      <c r="I120" s="373"/>
      <c r="J120" s="373"/>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484</v>
      </c>
      <c r="B121" s="209">
        <f>$B$112*B119</f>
        <v>0.23250000000000001</v>
      </c>
      <c r="C121" s="209" t="s">
        <v>125</v>
      </c>
      <c r="D121" s="209">
        <f>$B$112*D119</f>
        <v>0.23250000000000001</v>
      </c>
      <c r="E121" s="209" t="s">
        <v>125</v>
      </c>
      <c r="F121" s="212" t="s">
        <v>486</v>
      </c>
      <c r="G121" s="209">
        <f>D119-B119</f>
        <v>0</v>
      </c>
      <c r="H121" s="209" t="s">
        <v>485</v>
      </c>
      <c r="I121" s="219">
        <f>$B$112*G121</f>
        <v>0</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487</v>
      </c>
      <c r="G122" s="209">
        <f>I122/$B$112</f>
        <v>0</v>
      </c>
      <c r="H122" s="209" t="s">
        <v>485</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488</v>
      </c>
      <c r="G123" s="219">
        <f>G121</f>
        <v>0</v>
      </c>
      <c r="H123" s="209" t="s">
        <v>485</v>
      </c>
      <c r="I123" s="214">
        <f>I121</f>
        <v>0</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489</v>
      </c>
      <c r="B125" s="270">
        <f>'8. Общие сведения'!B96</f>
        <v>11.332204340000001</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30</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490</v>
      </c>
      <c r="B127" s="224"/>
      <c r="C127" s="190" t="s">
        <v>491</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7"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492</v>
      </c>
      <c r="B129" s="227">
        <f>$B$125*1000*1000</f>
        <v>11332204.34</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493</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611" t="s">
        <v>494</v>
      </c>
      <c r="B132" s="612">
        <v>0.1371</v>
      </c>
      <c r="C132" s="613"/>
      <c r="D132" s="613"/>
      <c r="E132" s="613"/>
      <c r="F132" s="613"/>
      <c r="G132" s="613"/>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614"/>
      <c r="B133" s="615"/>
      <c r="C133" s="613"/>
      <c r="D133" s="613"/>
      <c r="E133" s="613"/>
      <c r="F133" s="613"/>
      <c r="G133" s="613"/>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615"/>
      <c r="B134" s="616">
        <v>2024</v>
      </c>
      <c r="C134" s="617">
        <v>2025</v>
      </c>
      <c r="D134" s="617">
        <v>2026</v>
      </c>
      <c r="E134" s="617">
        <v>2027</v>
      </c>
      <c r="F134" s="617">
        <v>2028</v>
      </c>
      <c r="G134" s="617">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618" t="s">
        <v>581</v>
      </c>
      <c r="B135" s="619">
        <v>2449.0500000000002</v>
      </c>
      <c r="C135" s="619">
        <v>2750.9</v>
      </c>
      <c r="D135" s="619">
        <v>3022.14</v>
      </c>
      <c r="E135" s="619">
        <v>3178.91</v>
      </c>
      <c r="F135" s="619">
        <v>3307.64</v>
      </c>
      <c r="G135" s="619">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7"/>
      <c r="AR136" s="147"/>
      <c r="AS136" s="147"/>
      <c r="BH136" s="187"/>
      <c r="BI136" s="187"/>
      <c r="BJ136" s="187"/>
      <c r="BK136" s="187"/>
      <c r="BL136" s="187"/>
      <c r="BM136" s="187"/>
      <c r="BN136" s="187"/>
      <c r="BO136" s="187"/>
      <c r="BP136" s="187"/>
      <c r="BQ136" s="187"/>
      <c r="BR136" s="187"/>
      <c r="BS136" s="187"/>
    </row>
    <row r="137" spans="1:71" hidden="1" x14ac:dyDescent="0.2">
      <c r="A137" s="223" t="s">
        <v>495</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7"/>
      <c r="AR137" s="147"/>
      <c r="AS137" s="147"/>
      <c r="BH137" s="192"/>
      <c r="BI137" s="192"/>
      <c r="BJ137" s="192"/>
      <c r="BK137" s="192"/>
      <c r="BL137" s="192"/>
      <c r="BM137" s="192"/>
      <c r="BN137" s="192"/>
      <c r="BO137" s="192"/>
      <c r="BP137" s="192"/>
      <c r="BQ137" s="192"/>
      <c r="BR137" s="192"/>
      <c r="BS137" s="192"/>
    </row>
    <row r="138" spans="1:71" ht="12.75" hidden="1" x14ac:dyDescent="0.2">
      <c r="A138" s="223"/>
      <c r="B138" s="229">
        <v>2024</v>
      </c>
      <c r="C138" s="229">
        <f>B138+1</f>
        <v>2025</v>
      </c>
      <c r="D138" s="229">
        <f t="shared" ref="D138:AY138" si="41">C138+1</f>
        <v>2026</v>
      </c>
      <c r="E138" s="229">
        <f t="shared" si="41"/>
        <v>2027</v>
      </c>
      <c r="F138" s="229">
        <f t="shared" si="41"/>
        <v>2028</v>
      </c>
      <c r="G138" s="229">
        <f t="shared" si="41"/>
        <v>2029</v>
      </c>
      <c r="H138" s="229">
        <f t="shared" si="41"/>
        <v>2030</v>
      </c>
      <c r="I138" s="229">
        <f t="shared" si="41"/>
        <v>2031</v>
      </c>
      <c r="J138" s="229">
        <f t="shared" si="41"/>
        <v>2032</v>
      </c>
      <c r="K138" s="229">
        <f t="shared" si="41"/>
        <v>2033</v>
      </c>
      <c r="L138" s="229">
        <f t="shared" si="41"/>
        <v>2034</v>
      </c>
      <c r="M138" s="229">
        <f t="shared" si="41"/>
        <v>2035</v>
      </c>
      <c r="N138" s="229">
        <f t="shared" si="41"/>
        <v>2036</v>
      </c>
      <c r="O138" s="229">
        <f t="shared" si="41"/>
        <v>2037</v>
      </c>
      <c r="P138" s="229">
        <f t="shared" si="41"/>
        <v>2038</v>
      </c>
      <c r="Q138" s="229">
        <f t="shared" si="41"/>
        <v>2039</v>
      </c>
      <c r="R138" s="229">
        <f t="shared" si="41"/>
        <v>2040</v>
      </c>
      <c r="S138" s="229">
        <f t="shared" si="41"/>
        <v>2041</v>
      </c>
      <c r="T138" s="229">
        <f t="shared" si="41"/>
        <v>2042</v>
      </c>
      <c r="U138" s="229">
        <f t="shared" si="41"/>
        <v>2043</v>
      </c>
      <c r="V138" s="229">
        <f t="shared" si="41"/>
        <v>2044</v>
      </c>
      <c r="W138" s="229">
        <f t="shared" si="41"/>
        <v>2045</v>
      </c>
      <c r="X138" s="229">
        <f t="shared" si="41"/>
        <v>2046</v>
      </c>
      <c r="Y138" s="229">
        <f t="shared" si="41"/>
        <v>2047</v>
      </c>
      <c r="Z138" s="229">
        <f t="shared" si="41"/>
        <v>2048</v>
      </c>
      <c r="AA138" s="229">
        <f t="shared" si="41"/>
        <v>2049</v>
      </c>
      <c r="AB138" s="229">
        <f t="shared" si="41"/>
        <v>2050</v>
      </c>
      <c r="AC138" s="229">
        <f t="shared" si="41"/>
        <v>2051</v>
      </c>
      <c r="AD138" s="229">
        <f t="shared" si="41"/>
        <v>2052</v>
      </c>
      <c r="AE138" s="229">
        <f t="shared" si="41"/>
        <v>2053</v>
      </c>
      <c r="AF138" s="229">
        <f t="shared" si="41"/>
        <v>2054</v>
      </c>
      <c r="AG138" s="229">
        <f t="shared" si="41"/>
        <v>2055</v>
      </c>
      <c r="AH138" s="229">
        <f t="shared" si="41"/>
        <v>2056</v>
      </c>
      <c r="AI138" s="229">
        <f t="shared" si="41"/>
        <v>2057</v>
      </c>
      <c r="AJ138" s="229">
        <f t="shared" si="41"/>
        <v>2058</v>
      </c>
      <c r="AK138" s="229">
        <f t="shared" si="41"/>
        <v>2059</v>
      </c>
      <c r="AL138" s="229">
        <f t="shared" si="41"/>
        <v>2060</v>
      </c>
      <c r="AM138" s="229">
        <f t="shared" si="41"/>
        <v>2061</v>
      </c>
      <c r="AN138" s="229">
        <f t="shared" si="41"/>
        <v>2062</v>
      </c>
      <c r="AO138" s="229">
        <f t="shared" si="41"/>
        <v>2063</v>
      </c>
      <c r="AP138" s="229">
        <f t="shared" si="41"/>
        <v>2064</v>
      </c>
      <c r="AQ138" s="229">
        <f t="shared" si="41"/>
        <v>2065</v>
      </c>
      <c r="AR138" s="229">
        <f t="shared" si="41"/>
        <v>2066</v>
      </c>
      <c r="AS138" s="229">
        <f t="shared" si="41"/>
        <v>2067</v>
      </c>
      <c r="AT138" s="229">
        <f t="shared" si="41"/>
        <v>2068</v>
      </c>
      <c r="AU138" s="229">
        <f t="shared" si="41"/>
        <v>2069</v>
      </c>
      <c r="AV138" s="229">
        <f t="shared" si="41"/>
        <v>2070</v>
      </c>
      <c r="AW138" s="229">
        <f t="shared" si="41"/>
        <v>2071</v>
      </c>
      <c r="AX138" s="229">
        <f t="shared" si="41"/>
        <v>2072</v>
      </c>
      <c r="AY138" s="229">
        <f t="shared" si="41"/>
        <v>2073</v>
      </c>
    </row>
    <row r="139" spans="1:71" ht="12.75" hidden="1" x14ac:dyDescent="0.2">
      <c r="A139" s="223" t="s">
        <v>496</v>
      </c>
      <c r="B139" s="230">
        <v>9.1135032622053413E-2</v>
      </c>
      <c r="C139" s="230">
        <v>7.8163170639641913E-2</v>
      </c>
      <c r="D139" s="230">
        <v>5.2628968689616612E-2</v>
      </c>
      <c r="E139" s="231">
        <v>4.4208979893394937E-2</v>
      </c>
      <c r="F139" s="231">
        <f>E139</f>
        <v>4.4208979893394937E-2</v>
      </c>
      <c r="G139" s="231">
        <f t="shared" ref="G139:M139" si="42">F139</f>
        <v>4.4208979893394937E-2</v>
      </c>
      <c r="H139" s="231">
        <f t="shared" si="42"/>
        <v>4.4208979893394937E-2</v>
      </c>
      <c r="I139" s="231">
        <f t="shared" si="42"/>
        <v>4.4208979893394937E-2</v>
      </c>
      <c r="J139" s="231">
        <f t="shared" si="42"/>
        <v>4.4208979893394937E-2</v>
      </c>
      <c r="K139" s="231">
        <f t="shared" si="42"/>
        <v>4.4208979893394937E-2</v>
      </c>
      <c r="L139" s="231">
        <f t="shared" si="42"/>
        <v>4.4208979893394937E-2</v>
      </c>
      <c r="M139" s="231">
        <f t="shared" si="42"/>
        <v>4.4208979893394937E-2</v>
      </c>
      <c r="N139" s="231">
        <f t="shared" ref="N139:AY139" si="43">M139</f>
        <v>4.4208979893394937E-2</v>
      </c>
      <c r="O139" s="231">
        <f t="shared" si="43"/>
        <v>4.4208979893394937E-2</v>
      </c>
      <c r="P139" s="231">
        <f t="shared" si="43"/>
        <v>4.4208979893394937E-2</v>
      </c>
      <c r="Q139" s="231">
        <f t="shared" si="43"/>
        <v>4.4208979893394937E-2</v>
      </c>
      <c r="R139" s="231">
        <f t="shared" si="43"/>
        <v>4.4208979893394937E-2</v>
      </c>
      <c r="S139" s="231">
        <f t="shared" si="43"/>
        <v>4.4208979893394937E-2</v>
      </c>
      <c r="T139" s="231">
        <f t="shared" si="43"/>
        <v>4.4208979893394937E-2</v>
      </c>
      <c r="U139" s="231">
        <f t="shared" si="43"/>
        <v>4.4208979893394937E-2</v>
      </c>
      <c r="V139" s="231">
        <f t="shared" si="43"/>
        <v>4.4208979893394937E-2</v>
      </c>
      <c r="W139" s="231">
        <f t="shared" si="43"/>
        <v>4.4208979893394937E-2</v>
      </c>
      <c r="X139" s="231">
        <f t="shared" si="43"/>
        <v>4.4208979893394937E-2</v>
      </c>
      <c r="Y139" s="231">
        <f t="shared" si="43"/>
        <v>4.4208979893394937E-2</v>
      </c>
      <c r="Z139" s="231">
        <f t="shared" si="43"/>
        <v>4.4208979893394937E-2</v>
      </c>
      <c r="AA139" s="231">
        <f t="shared" si="43"/>
        <v>4.4208979893394937E-2</v>
      </c>
      <c r="AB139" s="231">
        <f t="shared" si="43"/>
        <v>4.4208979893394937E-2</v>
      </c>
      <c r="AC139" s="231">
        <f t="shared" si="43"/>
        <v>4.4208979893394937E-2</v>
      </c>
      <c r="AD139" s="231">
        <f t="shared" si="43"/>
        <v>4.4208979893394937E-2</v>
      </c>
      <c r="AE139" s="231">
        <f t="shared" si="43"/>
        <v>4.4208979893394937E-2</v>
      </c>
      <c r="AF139" s="231">
        <f t="shared" si="43"/>
        <v>4.4208979893394937E-2</v>
      </c>
      <c r="AG139" s="231">
        <f t="shared" si="43"/>
        <v>4.4208979893394937E-2</v>
      </c>
      <c r="AH139" s="231">
        <f t="shared" si="43"/>
        <v>4.4208979893394937E-2</v>
      </c>
      <c r="AI139" s="231">
        <f t="shared" si="43"/>
        <v>4.4208979893394937E-2</v>
      </c>
      <c r="AJ139" s="231">
        <f t="shared" si="43"/>
        <v>4.4208979893394937E-2</v>
      </c>
      <c r="AK139" s="231">
        <f t="shared" si="43"/>
        <v>4.4208979893394937E-2</v>
      </c>
      <c r="AL139" s="231">
        <f t="shared" si="43"/>
        <v>4.4208979893394937E-2</v>
      </c>
      <c r="AM139" s="231">
        <f t="shared" si="43"/>
        <v>4.4208979893394937E-2</v>
      </c>
      <c r="AN139" s="231">
        <f t="shared" si="43"/>
        <v>4.4208979893394937E-2</v>
      </c>
      <c r="AO139" s="231">
        <f t="shared" si="43"/>
        <v>4.4208979893394937E-2</v>
      </c>
      <c r="AP139" s="231">
        <f t="shared" si="43"/>
        <v>4.4208979893394937E-2</v>
      </c>
      <c r="AQ139" s="231">
        <f t="shared" si="43"/>
        <v>4.4208979893394937E-2</v>
      </c>
      <c r="AR139" s="231">
        <f t="shared" si="43"/>
        <v>4.4208979893394937E-2</v>
      </c>
      <c r="AS139" s="231">
        <f t="shared" si="43"/>
        <v>4.4208979893394937E-2</v>
      </c>
      <c r="AT139" s="231">
        <f t="shared" si="43"/>
        <v>4.4208979893394937E-2</v>
      </c>
      <c r="AU139" s="231">
        <f t="shared" si="43"/>
        <v>4.4208979893394937E-2</v>
      </c>
      <c r="AV139" s="231">
        <f t="shared" si="43"/>
        <v>4.4208979893394937E-2</v>
      </c>
      <c r="AW139" s="231">
        <f t="shared" si="43"/>
        <v>4.4208979893394937E-2</v>
      </c>
      <c r="AX139" s="231">
        <f t="shared" si="43"/>
        <v>4.4208979893394937E-2</v>
      </c>
      <c r="AY139" s="231">
        <f t="shared" si="43"/>
        <v>4.4208979893394937E-2</v>
      </c>
    </row>
    <row r="140" spans="1:71" s="147" customFormat="1" ht="15" hidden="1" x14ac:dyDescent="0.2">
      <c r="A140" s="223" t="s">
        <v>497</v>
      </c>
      <c r="B140" s="230">
        <v>9.1135032622053413E-2</v>
      </c>
      <c r="C140" s="198">
        <f>(1+B140)*(1+C139)-1</f>
        <v>0.17642160636778237</v>
      </c>
      <c r="D140" s="198">
        <f t="shared" ref="D140:AY140" si="44">(1+C140)*(1+D139)-1</f>
        <v>0.23833546225510083</v>
      </c>
      <c r="E140" s="198">
        <f t="shared" si="44"/>
        <v>0.29308100980721452</v>
      </c>
      <c r="F140" s="198">
        <f t="shared" si="44"/>
        <v>0.35024680217031245</v>
      </c>
      <c r="G140" s="198">
        <f t="shared" si="44"/>
        <v>0.40993983589858063</v>
      </c>
      <c r="H140" s="198">
        <f t="shared" si="44"/>
        <v>0.47227183775471748</v>
      </c>
      <c r="I140" s="198">
        <f t="shared" si="44"/>
        <v>0.53735947382762728</v>
      </c>
      <c r="J140" s="198">
        <f t="shared" si="44"/>
        <v>0.605324567894993</v>
      </c>
      <c r="K140" s="198">
        <f t="shared" si="44"/>
        <v>0.67629432943943568</v>
      </c>
      <c r="L140" s="198">
        <f t="shared" si="44"/>
        <v>0.75040159174503551</v>
      </c>
      <c r="M140" s="198">
        <f t="shared" si="44"/>
        <v>0.82778506051985823</v>
      </c>
      <c r="N140" s="198">
        <f t="shared" si="44"/>
        <v>0.90858957350982816</v>
      </c>
      <c r="O140" s="198">
        <f t="shared" si="44"/>
        <v>0.99296637158986734</v>
      </c>
      <c r="P140" s="198">
        <f t="shared" si="44"/>
        <v>1.0810733818396958</v>
      </c>
      <c r="Q140" s="198">
        <f t="shared" si="44"/>
        <v>1.1730755131341262</v>
      </c>
      <c r="R140" s="198">
        <f t="shared" si="44"/>
        <v>1.2691449648011015</v>
      </c>
      <c r="S140" s="198">
        <f t="shared" si="44"/>
        <v>1.3694615489251918</v>
      </c>
      <c r="T140" s="198">
        <f t="shared" si="44"/>
        <v>1.4742130268997977</v>
      </c>
      <c r="U140" s="198">
        <f t="shared" si="44"/>
        <v>1.5835954608579867</v>
      </c>
      <c r="V140" s="198">
        <f t="shared" si="44"/>
        <v>1.6978135806397239</v>
      </c>
      <c r="W140" s="198">
        <f t="shared" si="44"/>
        <v>1.8170811669823532</v>
      </c>
      <c r="X140" s="198">
        <f t="shared" si="44"/>
        <v>1.9416214516515375</v>
      </c>
      <c r="Y140" s="198">
        <f t="shared" si="44"/>
        <v>2.0716675352615797</v>
      </c>
      <c r="Z140" s="198">
        <f t="shared" si="44"/>
        <v>2.2074628235671527</v>
      </c>
      <c r="AA140" s="198">
        <f t="shared" si="44"/>
        <v>2.3492614830430445</v>
      </c>
      <c r="AB140" s="198">
        <f t="shared" si="44"/>
        <v>2.4973289166046162</v>
      </c>
      <c r="AC140" s="198">
        <f t="shared" si="44"/>
        <v>2.6519422603593781</v>
      </c>
      <c r="AD140" s="198">
        <f t="shared" si="44"/>
        <v>2.813390902319445</v>
      </c>
      <c r="AE140" s="198">
        <f t="shared" si="44"/>
        <v>2.9819770240457402</v>
      </c>
      <c r="AF140" s="198">
        <f t="shared" si="44"/>
        <v>3.1580161662377391</v>
      </c>
      <c r="AG140" s="198">
        <f t="shared" si="44"/>
        <v>3.3418378193273544</v>
      </c>
      <c r="AH140" s="198">
        <f t="shared" si="44"/>
        <v>3.5337860401823793</v>
      </c>
      <c r="AI140" s="198">
        <f t="shared" si="44"/>
        <v>3.7342200960737566</v>
      </c>
      <c r="AJ140" s="198">
        <f t="shared" si="44"/>
        <v>3.9435151371119872</v>
      </c>
      <c r="AK140" s="198">
        <f t="shared" si="44"/>
        <v>4.1620628984112642</v>
      </c>
      <c r="AL140" s="198">
        <f t="shared" si="44"/>
        <v>4.3902724332955678</v>
      </c>
      <c r="AM140" s="198">
        <f t="shared" si="44"/>
        <v>4.6285708789190521</v>
      </c>
      <c r="AN140" s="198">
        <f t="shared" si="44"/>
        <v>4.8774042557337323</v>
      </c>
      <c r="AO140" s="198">
        <f t="shared" si="44"/>
        <v>5.1372383023008181</v>
      </c>
      <c r="AP140" s="198">
        <f t="shared" si="44"/>
        <v>5.4085593470082083</v>
      </c>
      <c r="AQ140" s="198">
        <f t="shared" si="44"/>
        <v>5.6918752183257224</v>
      </c>
      <c r="AR140" s="198">
        <f t="shared" si="44"/>
        <v>5.9877161953017914</v>
      </c>
      <c r="AS140" s="198">
        <f t="shared" si="44"/>
        <v>6.2966360000806381</v>
      </c>
      <c r="AT140" s="198">
        <f t="shared" si="44"/>
        <v>6.619212834297624</v>
      </c>
      <c r="AU140" s="198">
        <f t="shared" si="44"/>
        <v>6.956050461292584</v>
      </c>
      <c r="AV140" s="198">
        <f t="shared" si="44"/>
        <v>7.3077793361667034</v>
      </c>
      <c r="AW140" s="198">
        <f>(1+AV140)*(1+AW139)-1</f>
        <v>7.6750577857980584</v>
      </c>
      <c r="AX140" s="198">
        <f t="shared" si="44"/>
        <v>8.0585732410244439</v>
      </c>
      <c r="AY140" s="198">
        <f t="shared" si="44"/>
        <v>8.459043523299739</v>
      </c>
    </row>
    <row r="141" spans="1:71" s="147" customFormat="1" hidden="1" x14ac:dyDescent="0.2">
      <c r="A141" s="194"/>
      <c r="B141" s="232"/>
      <c r="C141" s="233"/>
      <c r="D141" s="233"/>
      <c r="E141" s="233"/>
      <c r="F141" s="233"/>
      <c r="G141" s="233"/>
      <c r="H141" s="233"/>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c r="AM141" s="233"/>
      <c r="AN141" s="233"/>
      <c r="AO141" s="233"/>
      <c r="AP141" s="233"/>
      <c r="AQ141" s="107"/>
    </row>
    <row r="142" spans="1:71" ht="12.75" hidden="1" x14ac:dyDescent="0.2">
      <c r="A142" s="189"/>
      <c r="B142" s="229">
        <v>2024</v>
      </c>
      <c r="C142" s="229">
        <f>B142+1</f>
        <v>2025</v>
      </c>
      <c r="D142" s="229">
        <f t="shared" ref="D142:AY143" si="45">C142+1</f>
        <v>2026</v>
      </c>
      <c r="E142" s="229">
        <f t="shared" si="45"/>
        <v>2027</v>
      </c>
      <c r="F142" s="229">
        <f t="shared" si="45"/>
        <v>2028</v>
      </c>
      <c r="G142" s="229">
        <f t="shared" si="45"/>
        <v>2029</v>
      </c>
      <c r="H142" s="229">
        <f t="shared" si="45"/>
        <v>2030</v>
      </c>
      <c r="I142" s="229">
        <f t="shared" si="45"/>
        <v>2031</v>
      </c>
      <c r="J142" s="229">
        <f t="shared" si="45"/>
        <v>2032</v>
      </c>
      <c r="K142" s="229">
        <f t="shared" si="45"/>
        <v>2033</v>
      </c>
      <c r="L142" s="229">
        <f t="shared" si="45"/>
        <v>2034</v>
      </c>
      <c r="M142" s="229">
        <f t="shared" si="45"/>
        <v>2035</v>
      </c>
      <c r="N142" s="229">
        <f t="shared" si="45"/>
        <v>2036</v>
      </c>
      <c r="O142" s="229">
        <f t="shared" si="45"/>
        <v>2037</v>
      </c>
      <c r="P142" s="229">
        <f t="shared" si="45"/>
        <v>2038</v>
      </c>
      <c r="Q142" s="229">
        <f t="shared" si="45"/>
        <v>2039</v>
      </c>
      <c r="R142" s="229">
        <f t="shared" si="45"/>
        <v>2040</v>
      </c>
      <c r="S142" s="229">
        <f t="shared" si="45"/>
        <v>2041</v>
      </c>
      <c r="T142" s="229">
        <f t="shared" si="45"/>
        <v>2042</v>
      </c>
      <c r="U142" s="229">
        <f t="shared" si="45"/>
        <v>2043</v>
      </c>
      <c r="V142" s="229">
        <f t="shared" si="45"/>
        <v>2044</v>
      </c>
      <c r="W142" s="229">
        <f t="shared" si="45"/>
        <v>2045</v>
      </c>
      <c r="X142" s="229">
        <f t="shared" si="45"/>
        <v>2046</v>
      </c>
      <c r="Y142" s="229">
        <f t="shared" si="45"/>
        <v>2047</v>
      </c>
      <c r="Z142" s="229">
        <f t="shared" si="45"/>
        <v>2048</v>
      </c>
      <c r="AA142" s="229">
        <f t="shared" si="45"/>
        <v>2049</v>
      </c>
      <c r="AB142" s="229">
        <f t="shared" si="45"/>
        <v>2050</v>
      </c>
      <c r="AC142" s="229">
        <f t="shared" si="45"/>
        <v>2051</v>
      </c>
      <c r="AD142" s="229">
        <f t="shared" si="45"/>
        <v>2052</v>
      </c>
      <c r="AE142" s="229">
        <f t="shared" si="45"/>
        <v>2053</v>
      </c>
      <c r="AF142" s="229">
        <f t="shared" si="45"/>
        <v>2054</v>
      </c>
      <c r="AG142" s="229">
        <f t="shared" si="45"/>
        <v>2055</v>
      </c>
      <c r="AH142" s="229">
        <f t="shared" si="45"/>
        <v>2056</v>
      </c>
      <c r="AI142" s="229">
        <f t="shared" si="45"/>
        <v>2057</v>
      </c>
      <c r="AJ142" s="229">
        <f t="shared" si="45"/>
        <v>2058</v>
      </c>
      <c r="AK142" s="229">
        <f t="shared" si="45"/>
        <v>2059</v>
      </c>
      <c r="AL142" s="229">
        <f t="shared" si="45"/>
        <v>2060</v>
      </c>
      <c r="AM142" s="229">
        <f t="shared" si="45"/>
        <v>2061</v>
      </c>
      <c r="AN142" s="229">
        <f t="shared" si="45"/>
        <v>2062</v>
      </c>
      <c r="AO142" s="229">
        <f t="shared" si="45"/>
        <v>2063</v>
      </c>
      <c r="AP142" s="229">
        <f t="shared" si="45"/>
        <v>2064</v>
      </c>
      <c r="AQ142" s="229">
        <f t="shared" si="45"/>
        <v>2065</v>
      </c>
      <c r="AR142" s="229">
        <f t="shared" si="45"/>
        <v>2066</v>
      </c>
      <c r="AS142" s="229">
        <f t="shared" si="45"/>
        <v>2067</v>
      </c>
      <c r="AT142" s="229">
        <f t="shared" si="45"/>
        <v>2068</v>
      </c>
      <c r="AU142" s="229">
        <f t="shared" si="45"/>
        <v>2069</v>
      </c>
      <c r="AV142" s="229">
        <f t="shared" si="45"/>
        <v>2070</v>
      </c>
      <c r="AW142" s="229">
        <f t="shared" si="45"/>
        <v>2071</v>
      </c>
      <c r="AX142" s="229">
        <f t="shared" si="45"/>
        <v>2072</v>
      </c>
      <c r="AY142" s="229">
        <f t="shared" si="45"/>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4">
        <f>1</f>
        <v>1</v>
      </c>
      <c r="C143" s="234">
        <f t="shared" ref="C143" si="46">B143+1</f>
        <v>2</v>
      </c>
      <c r="D143" s="234">
        <f t="shared" si="45"/>
        <v>3</v>
      </c>
      <c r="E143" s="234">
        <f>D143+1</f>
        <v>4</v>
      </c>
      <c r="F143" s="234">
        <f t="shared" si="45"/>
        <v>5</v>
      </c>
      <c r="G143" s="234">
        <f t="shared" si="45"/>
        <v>6</v>
      </c>
      <c r="H143" s="234">
        <f t="shared" si="45"/>
        <v>7</v>
      </c>
      <c r="I143" s="234">
        <f t="shared" si="45"/>
        <v>8</v>
      </c>
      <c r="J143" s="234">
        <f t="shared" si="45"/>
        <v>9</v>
      </c>
      <c r="K143" s="234">
        <f t="shared" si="45"/>
        <v>10</v>
      </c>
      <c r="L143" s="234">
        <f t="shared" si="45"/>
        <v>11</v>
      </c>
      <c r="M143" s="234">
        <f t="shared" si="45"/>
        <v>12</v>
      </c>
      <c r="N143" s="234">
        <f t="shared" si="45"/>
        <v>13</v>
      </c>
      <c r="O143" s="234">
        <f t="shared" si="45"/>
        <v>14</v>
      </c>
      <c r="P143" s="234">
        <f t="shared" si="45"/>
        <v>15</v>
      </c>
      <c r="Q143" s="234">
        <f t="shared" si="45"/>
        <v>16</v>
      </c>
      <c r="R143" s="234">
        <f t="shared" si="45"/>
        <v>17</v>
      </c>
      <c r="S143" s="234">
        <f t="shared" si="45"/>
        <v>18</v>
      </c>
      <c r="T143" s="234">
        <f t="shared" si="45"/>
        <v>19</v>
      </c>
      <c r="U143" s="234">
        <f t="shared" si="45"/>
        <v>20</v>
      </c>
      <c r="V143" s="234">
        <f t="shared" si="45"/>
        <v>21</v>
      </c>
      <c r="W143" s="234">
        <f t="shared" si="45"/>
        <v>22</v>
      </c>
      <c r="X143" s="234">
        <f t="shared" si="45"/>
        <v>23</v>
      </c>
      <c r="Y143" s="234">
        <f t="shared" si="45"/>
        <v>24</v>
      </c>
      <c r="Z143" s="234">
        <f t="shared" si="45"/>
        <v>25</v>
      </c>
      <c r="AA143" s="234">
        <f t="shared" si="45"/>
        <v>26</v>
      </c>
      <c r="AB143" s="234">
        <f t="shared" si="45"/>
        <v>27</v>
      </c>
      <c r="AC143" s="234">
        <f t="shared" si="45"/>
        <v>28</v>
      </c>
      <c r="AD143" s="234">
        <f t="shared" si="45"/>
        <v>29</v>
      </c>
      <c r="AE143" s="234">
        <f t="shared" si="45"/>
        <v>30</v>
      </c>
      <c r="AF143" s="234">
        <f t="shared" si="45"/>
        <v>31</v>
      </c>
      <c r="AG143" s="234">
        <f t="shared" si="45"/>
        <v>32</v>
      </c>
      <c r="AH143" s="234">
        <f t="shared" si="45"/>
        <v>33</v>
      </c>
      <c r="AI143" s="234">
        <f t="shared" si="45"/>
        <v>34</v>
      </c>
      <c r="AJ143" s="234">
        <f t="shared" si="45"/>
        <v>35</v>
      </c>
      <c r="AK143" s="234">
        <f t="shared" si="45"/>
        <v>36</v>
      </c>
      <c r="AL143" s="234">
        <f t="shared" si="45"/>
        <v>37</v>
      </c>
      <c r="AM143" s="234">
        <f t="shared" si="45"/>
        <v>38</v>
      </c>
      <c r="AN143" s="234">
        <f t="shared" si="45"/>
        <v>39</v>
      </c>
      <c r="AO143" s="234">
        <f t="shared" si="45"/>
        <v>40</v>
      </c>
      <c r="AP143" s="234">
        <f>AO143+1</f>
        <v>41</v>
      </c>
      <c r="AQ143" s="234">
        <f t="shared" si="45"/>
        <v>42</v>
      </c>
      <c r="AR143" s="234">
        <f t="shared" si="45"/>
        <v>43</v>
      </c>
      <c r="AS143" s="234">
        <f t="shared" si="45"/>
        <v>44</v>
      </c>
      <c r="AT143" s="234">
        <f t="shared" si="45"/>
        <v>45</v>
      </c>
      <c r="AU143" s="234">
        <f t="shared" si="45"/>
        <v>46</v>
      </c>
      <c r="AV143" s="234">
        <f t="shared" si="45"/>
        <v>47</v>
      </c>
      <c r="AW143" s="234">
        <f t="shared" si="45"/>
        <v>48</v>
      </c>
      <c r="AX143" s="234">
        <f t="shared" si="45"/>
        <v>49</v>
      </c>
      <c r="AY143" s="234">
        <f t="shared" si="45"/>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5">
        <v>0.5</v>
      </c>
      <c r="C144" s="235">
        <f>AVERAGE(B143:C143)</f>
        <v>1.5</v>
      </c>
      <c r="D144" s="235">
        <f>AVERAGE(C143:D143)</f>
        <v>2.5</v>
      </c>
      <c r="E144" s="235">
        <f>AVERAGE(D143:E143)</f>
        <v>3.5</v>
      </c>
      <c r="F144" s="235">
        <f t="shared" ref="F144:AO144" si="47">AVERAGE(E143:F143)</f>
        <v>4.5</v>
      </c>
      <c r="G144" s="235">
        <f t="shared" si="47"/>
        <v>5.5</v>
      </c>
      <c r="H144" s="235">
        <f t="shared" si="47"/>
        <v>6.5</v>
      </c>
      <c r="I144" s="235">
        <f t="shared" si="47"/>
        <v>7.5</v>
      </c>
      <c r="J144" s="235">
        <f t="shared" si="47"/>
        <v>8.5</v>
      </c>
      <c r="K144" s="235">
        <f t="shared" si="47"/>
        <v>9.5</v>
      </c>
      <c r="L144" s="235">
        <f t="shared" si="47"/>
        <v>10.5</v>
      </c>
      <c r="M144" s="235">
        <f t="shared" si="47"/>
        <v>11.5</v>
      </c>
      <c r="N144" s="235">
        <f t="shared" si="47"/>
        <v>12.5</v>
      </c>
      <c r="O144" s="235">
        <f t="shared" si="47"/>
        <v>13.5</v>
      </c>
      <c r="P144" s="235">
        <f t="shared" si="47"/>
        <v>14.5</v>
      </c>
      <c r="Q144" s="235">
        <f t="shared" si="47"/>
        <v>15.5</v>
      </c>
      <c r="R144" s="235">
        <f t="shared" si="47"/>
        <v>16.5</v>
      </c>
      <c r="S144" s="235">
        <f t="shared" si="47"/>
        <v>17.5</v>
      </c>
      <c r="T144" s="235">
        <f t="shared" si="47"/>
        <v>18.5</v>
      </c>
      <c r="U144" s="235">
        <f t="shared" si="47"/>
        <v>19.5</v>
      </c>
      <c r="V144" s="235">
        <f t="shared" si="47"/>
        <v>20.5</v>
      </c>
      <c r="W144" s="235">
        <f t="shared" si="47"/>
        <v>21.5</v>
      </c>
      <c r="X144" s="235">
        <f t="shared" si="47"/>
        <v>22.5</v>
      </c>
      <c r="Y144" s="235">
        <f t="shared" si="47"/>
        <v>23.5</v>
      </c>
      <c r="Z144" s="235">
        <f t="shared" si="47"/>
        <v>24.5</v>
      </c>
      <c r="AA144" s="235">
        <f t="shared" si="47"/>
        <v>25.5</v>
      </c>
      <c r="AB144" s="235">
        <f t="shared" si="47"/>
        <v>26.5</v>
      </c>
      <c r="AC144" s="235">
        <f t="shared" si="47"/>
        <v>27.5</v>
      </c>
      <c r="AD144" s="235">
        <f t="shared" si="47"/>
        <v>28.5</v>
      </c>
      <c r="AE144" s="235">
        <f t="shared" si="47"/>
        <v>29.5</v>
      </c>
      <c r="AF144" s="235">
        <f t="shared" si="47"/>
        <v>30.5</v>
      </c>
      <c r="AG144" s="235">
        <f t="shared" si="47"/>
        <v>31.5</v>
      </c>
      <c r="AH144" s="235">
        <f t="shared" si="47"/>
        <v>32.5</v>
      </c>
      <c r="AI144" s="235">
        <f t="shared" si="47"/>
        <v>33.5</v>
      </c>
      <c r="AJ144" s="235">
        <f t="shared" si="47"/>
        <v>34.5</v>
      </c>
      <c r="AK144" s="235">
        <f t="shared" si="47"/>
        <v>35.5</v>
      </c>
      <c r="AL144" s="235">
        <f t="shared" si="47"/>
        <v>36.5</v>
      </c>
      <c r="AM144" s="235">
        <f t="shared" si="47"/>
        <v>37.5</v>
      </c>
      <c r="AN144" s="235">
        <f t="shared" si="47"/>
        <v>38.5</v>
      </c>
      <c r="AO144" s="235">
        <f t="shared" si="47"/>
        <v>39.5</v>
      </c>
      <c r="AP144" s="235">
        <f>AVERAGE(AO143:AP143)</f>
        <v>40.5</v>
      </c>
      <c r="AQ144" s="235">
        <f t="shared" ref="AQ144:AY144" si="48">AVERAGE(AP143:AQ143)</f>
        <v>41.5</v>
      </c>
      <c r="AR144" s="235">
        <f t="shared" si="48"/>
        <v>42.5</v>
      </c>
      <c r="AS144" s="235">
        <f t="shared" si="48"/>
        <v>43.5</v>
      </c>
      <c r="AT144" s="235">
        <f t="shared" si="48"/>
        <v>44.5</v>
      </c>
      <c r="AU144" s="235">
        <f t="shared" si="48"/>
        <v>45.5</v>
      </c>
      <c r="AV144" s="235">
        <f t="shared" si="48"/>
        <v>46.5</v>
      </c>
      <c r="AW144" s="235">
        <f t="shared" si="48"/>
        <v>47.5</v>
      </c>
      <c r="AX144" s="235">
        <f t="shared" si="48"/>
        <v>48.5</v>
      </c>
      <c r="AY144" s="235">
        <f t="shared" si="48"/>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hidden="1"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hidden="1"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hidden="1"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hidden="1"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hidden="1"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hidden="1"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hidden="1"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hidden="1"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hidden="1"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hidden="1"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hidden="1"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hidden="1"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hidden="1"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hidden="1"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hidden="1"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9" zoomScale="70" zoomScaleSheetLayoutView="70" workbookViewId="0">
      <selection activeCell="I32" sqref="I32"/>
    </sheetView>
  </sheetViews>
  <sheetFormatPr defaultColWidth="9.140625" defaultRowHeight="15" x14ac:dyDescent="0.25"/>
  <cols>
    <col min="1" max="1" width="9.140625" style="278"/>
    <col min="2" max="2" width="37.7109375" style="278" customWidth="1"/>
    <col min="3" max="4" width="15.7109375" style="280" customWidth="1"/>
    <col min="5" max="6" width="15.7109375" style="278" customWidth="1"/>
    <col min="7" max="8" width="15.7109375" style="278" hidden="1" customWidth="1"/>
    <col min="9" max="10" width="18.28515625" style="278" customWidth="1"/>
    <col min="11" max="11" width="64.85546875" style="278" customWidth="1"/>
    <col min="12" max="12" width="32.28515625" style="278" customWidth="1"/>
    <col min="13" max="16384" width="9.140625" style="278"/>
  </cols>
  <sheetData>
    <row r="1" spans="1:12" ht="18.75" x14ac:dyDescent="0.25">
      <c r="A1" s="49"/>
      <c r="B1" s="49"/>
      <c r="C1" s="49"/>
      <c r="D1" s="49"/>
      <c r="E1" s="49"/>
      <c r="F1" s="49"/>
      <c r="G1" s="49"/>
      <c r="H1" s="49"/>
      <c r="I1" s="49"/>
      <c r="J1" s="49"/>
      <c r="K1" s="49"/>
      <c r="L1" s="250" t="s">
        <v>65</v>
      </c>
    </row>
    <row r="2" spans="1:12" ht="18.75" x14ac:dyDescent="0.3">
      <c r="A2" s="49"/>
      <c r="B2" s="49"/>
      <c r="C2" s="49"/>
      <c r="D2" s="49"/>
      <c r="E2" s="49"/>
      <c r="F2" s="49"/>
      <c r="G2" s="49"/>
      <c r="H2" s="49"/>
      <c r="I2" s="49"/>
      <c r="J2" s="49"/>
      <c r="K2" s="49"/>
      <c r="L2" s="251" t="s">
        <v>7</v>
      </c>
    </row>
    <row r="3" spans="1:12" ht="18.75" x14ac:dyDescent="0.3">
      <c r="A3" s="49"/>
      <c r="B3" s="49"/>
      <c r="C3" s="49"/>
      <c r="D3" s="49"/>
      <c r="E3" s="49"/>
      <c r="F3" s="49"/>
      <c r="G3" s="49"/>
      <c r="H3" s="49"/>
      <c r="I3" s="49"/>
      <c r="J3" s="49"/>
      <c r="K3" s="49"/>
      <c r="L3" s="251" t="s">
        <v>513</v>
      </c>
    </row>
    <row r="4" spans="1:12" ht="18.75" x14ac:dyDescent="0.3">
      <c r="A4" s="49"/>
      <c r="B4" s="49"/>
      <c r="C4" s="49"/>
      <c r="D4" s="49"/>
      <c r="E4" s="49"/>
      <c r="F4" s="49"/>
      <c r="G4" s="49"/>
      <c r="H4" s="49"/>
      <c r="I4" s="49"/>
      <c r="J4" s="49"/>
      <c r="K4" s="251"/>
      <c r="L4" s="49"/>
    </row>
    <row r="5" spans="1:12" ht="15.75" x14ac:dyDescent="0.25">
      <c r="A5" s="459" t="str">
        <f>'1. паспорт местоположение'!A5:C5</f>
        <v>Год раскрытия информации: 2025 год</v>
      </c>
      <c r="B5" s="459"/>
      <c r="C5" s="459"/>
      <c r="D5" s="459"/>
      <c r="E5" s="459"/>
      <c r="F5" s="459"/>
      <c r="G5" s="459"/>
      <c r="H5" s="459"/>
      <c r="I5" s="459"/>
      <c r="J5" s="459"/>
      <c r="K5" s="459"/>
      <c r="L5" s="459"/>
    </row>
    <row r="6" spans="1:12" ht="18.75" x14ac:dyDescent="0.3">
      <c r="A6" s="49"/>
      <c r="B6" s="49"/>
      <c r="C6" s="49"/>
      <c r="D6" s="49"/>
      <c r="E6" s="49"/>
      <c r="F6" s="49"/>
      <c r="G6" s="49"/>
      <c r="H6" s="49"/>
      <c r="I6" s="49"/>
      <c r="J6" s="49"/>
      <c r="K6" s="251"/>
      <c r="L6" s="49"/>
    </row>
    <row r="7" spans="1:12" ht="18.75" x14ac:dyDescent="0.25">
      <c r="A7" s="463" t="s">
        <v>6</v>
      </c>
      <c r="B7" s="463"/>
      <c r="C7" s="463"/>
      <c r="D7" s="463"/>
      <c r="E7" s="463"/>
      <c r="F7" s="463"/>
      <c r="G7" s="463"/>
      <c r="H7" s="463"/>
      <c r="I7" s="463"/>
      <c r="J7" s="463"/>
      <c r="K7" s="463"/>
      <c r="L7" s="463"/>
    </row>
    <row r="8" spans="1:12" ht="18.75" x14ac:dyDescent="0.25">
      <c r="A8" s="463"/>
      <c r="B8" s="463"/>
      <c r="C8" s="463"/>
      <c r="D8" s="463"/>
      <c r="E8" s="463"/>
      <c r="F8" s="463"/>
      <c r="G8" s="463"/>
      <c r="H8" s="463"/>
      <c r="I8" s="463"/>
      <c r="J8" s="463"/>
      <c r="K8" s="463"/>
      <c r="L8" s="463"/>
    </row>
    <row r="9" spans="1:12" x14ac:dyDescent="0.25">
      <c r="A9" s="560" t="str">
        <f>'5. анализ эконом эфф'!A9:H9</f>
        <v>Акционерное общество "Россети Янтарь" ДЗО  ПАО "Россети"</v>
      </c>
      <c r="B9" s="560"/>
      <c r="C9" s="560"/>
      <c r="D9" s="560"/>
      <c r="E9" s="560"/>
      <c r="F9" s="560"/>
      <c r="G9" s="560"/>
      <c r="H9" s="560"/>
      <c r="I9" s="560"/>
      <c r="J9" s="560"/>
      <c r="K9" s="560"/>
      <c r="L9" s="560"/>
    </row>
    <row r="10" spans="1:12" ht="15.75" x14ac:dyDescent="0.25">
      <c r="A10" s="460" t="s">
        <v>5</v>
      </c>
      <c r="B10" s="460"/>
      <c r="C10" s="460"/>
      <c r="D10" s="460"/>
      <c r="E10" s="460"/>
      <c r="F10" s="460"/>
      <c r="G10" s="460"/>
      <c r="H10" s="460"/>
      <c r="I10" s="460"/>
      <c r="J10" s="460"/>
      <c r="K10" s="460"/>
      <c r="L10" s="460"/>
    </row>
    <row r="11" spans="1:12" ht="18.75" x14ac:dyDescent="0.25">
      <c r="A11" s="463"/>
      <c r="B11" s="463"/>
      <c r="C11" s="463"/>
      <c r="D11" s="463"/>
      <c r="E11" s="463"/>
      <c r="F11" s="463"/>
      <c r="G11" s="463"/>
      <c r="H11" s="463"/>
      <c r="I11" s="463"/>
      <c r="J11" s="463"/>
      <c r="K11" s="463"/>
      <c r="L11" s="463"/>
    </row>
    <row r="12" spans="1:12" ht="15.75" x14ac:dyDescent="0.25">
      <c r="A12" s="459" t="str">
        <f>'1. паспорт местоположение'!A12:C12</f>
        <v>N_22-1289</v>
      </c>
      <c r="B12" s="459"/>
      <c r="C12" s="459"/>
      <c r="D12" s="459"/>
      <c r="E12" s="459"/>
      <c r="F12" s="459"/>
      <c r="G12" s="459"/>
      <c r="H12" s="459"/>
      <c r="I12" s="459"/>
      <c r="J12" s="459"/>
      <c r="K12" s="459"/>
      <c r="L12" s="459"/>
    </row>
    <row r="13" spans="1:12" ht="15.75" x14ac:dyDescent="0.25">
      <c r="A13" s="460" t="s">
        <v>4</v>
      </c>
      <c r="B13" s="460"/>
      <c r="C13" s="460"/>
      <c r="D13" s="460"/>
      <c r="E13" s="460"/>
      <c r="F13" s="460"/>
      <c r="G13" s="460"/>
      <c r="H13" s="460"/>
      <c r="I13" s="460"/>
      <c r="J13" s="460"/>
      <c r="K13" s="460"/>
      <c r="L13" s="460"/>
    </row>
    <row r="14" spans="1:12" ht="18.75" x14ac:dyDescent="0.25">
      <c r="A14" s="474"/>
      <c r="B14" s="474"/>
      <c r="C14" s="474"/>
      <c r="D14" s="474"/>
      <c r="E14" s="474"/>
      <c r="F14" s="474"/>
      <c r="G14" s="474"/>
      <c r="H14" s="474"/>
      <c r="I14" s="474"/>
      <c r="J14" s="474"/>
      <c r="K14" s="474"/>
      <c r="L14" s="474"/>
    </row>
    <row r="15" spans="1:12" ht="47.25" customHeight="1" x14ac:dyDescent="0.25">
      <c r="A15" s="561" t="str">
        <f>'1. паспорт местоположение'!A15:C15</f>
        <v>Техническое перевооружение ТП 15/0,4 кВ 204-10 с заменой трансформатора 250 кВА (без прироста), строительство ЛЭП 0,4 кВ от ТП 204-10 протяженностью 292 м, реконструкция ВЛ 0,4 кВ от ТП 204-10 Л-1, Л-2, Л-3, Л-5 протяженностью 1772 м в п. Долгоруково Багратионовского района</v>
      </c>
      <c r="B15" s="561"/>
      <c r="C15" s="561"/>
      <c r="D15" s="561"/>
      <c r="E15" s="561"/>
      <c r="F15" s="561"/>
      <c r="G15" s="561"/>
      <c r="H15" s="561"/>
      <c r="I15" s="561"/>
      <c r="J15" s="561"/>
      <c r="K15" s="561"/>
      <c r="L15" s="561"/>
    </row>
    <row r="16" spans="1:12" ht="15.75" x14ac:dyDescent="0.25">
      <c r="A16" s="460" t="s">
        <v>3</v>
      </c>
      <c r="B16" s="460"/>
      <c r="C16" s="460"/>
      <c r="D16" s="460"/>
      <c r="E16" s="460"/>
      <c r="F16" s="460"/>
      <c r="G16" s="460"/>
      <c r="H16" s="460"/>
      <c r="I16" s="460"/>
      <c r="J16" s="460"/>
      <c r="K16" s="460"/>
      <c r="L16" s="460"/>
    </row>
    <row r="17" spans="1:12" ht="15.75" x14ac:dyDescent="0.25">
      <c r="A17" s="49"/>
      <c r="B17" s="49"/>
      <c r="C17" s="49"/>
      <c r="D17" s="49"/>
      <c r="E17" s="49"/>
      <c r="F17" s="49"/>
      <c r="G17" s="49"/>
      <c r="H17" s="49"/>
      <c r="I17" s="49"/>
      <c r="J17" s="49"/>
      <c r="K17" s="49"/>
      <c r="L17" s="356"/>
    </row>
    <row r="18" spans="1:12" ht="15.75" x14ac:dyDescent="0.25">
      <c r="A18" s="49"/>
      <c r="B18" s="49"/>
      <c r="C18" s="49"/>
      <c r="D18" s="49"/>
      <c r="E18" s="49"/>
      <c r="F18" s="49"/>
      <c r="G18" s="49"/>
      <c r="H18" s="49"/>
      <c r="I18" s="49"/>
      <c r="J18" s="49"/>
      <c r="K18" s="36"/>
      <c r="L18" s="49"/>
    </row>
    <row r="19" spans="1:12" ht="15.75" customHeight="1" x14ac:dyDescent="0.25">
      <c r="A19" s="545" t="s">
        <v>427</v>
      </c>
      <c r="B19" s="545"/>
      <c r="C19" s="545"/>
      <c r="D19" s="545"/>
      <c r="E19" s="545"/>
      <c r="F19" s="545"/>
      <c r="G19" s="545"/>
      <c r="H19" s="545"/>
      <c r="I19" s="545"/>
      <c r="J19" s="545"/>
      <c r="K19" s="545"/>
      <c r="L19" s="545"/>
    </row>
    <row r="20" spans="1:12" ht="15.75" x14ac:dyDescent="0.25">
      <c r="A20" s="279"/>
      <c r="F20" s="281"/>
    </row>
    <row r="21" spans="1:12" ht="34.9" customHeight="1" x14ac:dyDescent="0.25">
      <c r="A21" s="546" t="s">
        <v>216</v>
      </c>
      <c r="B21" s="546" t="s">
        <v>215</v>
      </c>
      <c r="C21" s="549" t="s">
        <v>359</v>
      </c>
      <c r="D21" s="550"/>
      <c r="E21" s="550"/>
      <c r="F21" s="550"/>
      <c r="G21" s="550"/>
      <c r="H21" s="551"/>
      <c r="I21" s="552" t="s">
        <v>214</v>
      </c>
      <c r="J21" s="552" t="s">
        <v>361</v>
      </c>
      <c r="K21" s="546" t="s">
        <v>213</v>
      </c>
      <c r="L21" s="555" t="s">
        <v>360</v>
      </c>
    </row>
    <row r="22" spans="1:12" ht="34.9" customHeight="1" x14ac:dyDescent="0.25">
      <c r="A22" s="547"/>
      <c r="B22" s="547"/>
      <c r="C22" s="558" t="s">
        <v>1</v>
      </c>
      <c r="D22" s="559"/>
      <c r="E22" s="558" t="s">
        <v>8</v>
      </c>
      <c r="F22" s="559"/>
      <c r="G22" s="558" t="s">
        <v>511</v>
      </c>
      <c r="H22" s="559"/>
      <c r="I22" s="553"/>
      <c r="J22" s="553"/>
      <c r="K22" s="547"/>
      <c r="L22" s="556"/>
    </row>
    <row r="23" spans="1:12" ht="34.9" customHeight="1" x14ac:dyDescent="0.25">
      <c r="A23" s="548"/>
      <c r="B23" s="548"/>
      <c r="C23" s="324" t="s">
        <v>212</v>
      </c>
      <c r="D23" s="324" t="s">
        <v>211</v>
      </c>
      <c r="E23" s="324" t="s">
        <v>212</v>
      </c>
      <c r="F23" s="324" t="s">
        <v>211</v>
      </c>
      <c r="G23" s="324" t="s">
        <v>212</v>
      </c>
      <c r="H23" s="324" t="s">
        <v>211</v>
      </c>
      <c r="I23" s="554"/>
      <c r="J23" s="554"/>
      <c r="K23" s="548"/>
      <c r="L23" s="557"/>
    </row>
    <row r="24" spans="1:12" ht="15.75" x14ac:dyDescent="0.25">
      <c r="A24" s="355">
        <v>1</v>
      </c>
      <c r="B24" s="355">
        <v>2</v>
      </c>
      <c r="C24" s="324">
        <v>3</v>
      </c>
      <c r="D24" s="324">
        <v>4</v>
      </c>
      <c r="E24" s="324">
        <v>5</v>
      </c>
      <c r="F24" s="324">
        <v>6</v>
      </c>
      <c r="G24" s="324">
        <v>7</v>
      </c>
      <c r="H24" s="324">
        <v>8</v>
      </c>
      <c r="I24" s="324">
        <v>9</v>
      </c>
      <c r="J24" s="324">
        <v>10</v>
      </c>
      <c r="K24" s="324">
        <v>11</v>
      </c>
      <c r="L24" s="324">
        <v>12</v>
      </c>
    </row>
    <row r="25" spans="1:12" ht="15.75" x14ac:dyDescent="0.25">
      <c r="A25" s="324">
        <v>1</v>
      </c>
      <c r="B25" s="326" t="s">
        <v>210</v>
      </c>
      <c r="C25" s="327"/>
      <c r="D25" s="327"/>
      <c r="E25" s="328"/>
      <c r="F25" s="328"/>
      <c r="G25" s="327"/>
      <c r="H25" s="327"/>
      <c r="I25" s="327"/>
      <c r="J25" s="328"/>
      <c r="K25" s="329"/>
      <c r="L25" s="330"/>
    </row>
    <row r="26" spans="1:12" ht="15.75" x14ac:dyDescent="0.25">
      <c r="A26" s="324" t="s">
        <v>209</v>
      </c>
      <c r="B26" s="331" t="s">
        <v>366</v>
      </c>
      <c r="C26" s="379" t="s">
        <v>460</v>
      </c>
      <c r="D26" s="379" t="s">
        <v>460</v>
      </c>
      <c r="E26" s="379" t="s">
        <v>460</v>
      </c>
      <c r="F26" s="379" t="s">
        <v>460</v>
      </c>
      <c r="G26" s="379" t="s">
        <v>460</v>
      </c>
      <c r="H26" s="379" t="s">
        <v>460</v>
      </c>
      <c r="I26" s="380"/>
      <c r="J26" s="328"/>
      <c r="K26" s="329"/>
      <c r="L26" s="329"/>
    </row>
    <row r="27" spans="1:12" ht="31.5" x14ac:dyDescent="0.25">
      <c r="A27" s="324" t="s">
        <v>208</v>
      </c>
      <c r="B27" s="331" t="s">
        <v>368</v>
      </c>
      <c r="C27" s="379" t="s">
        <v>460</v>
      </c>
      <c r="D27" s="379" t="s">
        <v>460</v>
      </c>
      <c r="E27" s="379" t="s">
        <v>460</v>
      </c>
      <c r="F27" s="379" t="s">
        <v>460</v>
      </c>
      <c r="G27" s="379" t="s">
        <v>460</v>
      </c>
      <c r="H27" s="379" t="s">
        <v>460</v>
      </c>
      <c r="I27" s="380"/>
      <c r="J27" s="328"/>
      <c r="K27" s="329"/>
      <c r="L27" s="329"/>
    </row>
    <row r="28" spans="1:12" ht="63" x14ac:dyDescent="0.25">
      <c r="A28" s="324" t="s">
        <v>367</v>
      </c>
      <c r="B28" s="331" t="s">
        <v>372</v>
      </c>
      <c r="C28" s="379" t="s">
        <v>460</v>
      </c>
      <c r="D28" s="379" t="s">
        <v>460</v>
      </c>
      <c r="E28" s="379" t="s">
        <v>460</v>
      </c>
      <c r="F28" s="379" t="s">
        <v>460</v>
      </c>
      <c r="G28" s="379" t="s">
        <v>460</v>
      </c>
      <c r="H28" s="379" t="s">
        <v>460</v>
      </c>
      <c r="I28" s="380"/>
      <c r="J28" s="328"/>
      <c r="K28" s="329"/>
      <c r="L28" s="329"/>
    </row>
    <row r="29" spans="1:12" ht="31.5" x14ac:dyDescent="0.25">
      <c r="A29" s="324" t="s">
        <v>207</v>
      </c>
      <c r="B29" s="331" t="s">
        <v>371</v>
      </c>
      <c r="C29" s="379" t="s">
        <v>460</v>
      </c>
      <c r="D29" s="379" t="s">
        <v>460</v>
      </c>
      <c r="E29" s="379" t="s">
        <v>460</v>
      </c>
      <c r="F29" s="379" t="s">
        <v>460</v>
      </c>
      <c r="G29" s="379" t="s">
        <v>460</v>
      </c>
      <c r="H29" s="379" t="s">
        <v>460</v>
      </c>
      <c r="I29" s="380"/>
      <c r="J29" s="328"/>
      <c r="K29" s="329"/>
      <c r="L29" s="329"/>
    </row>
    <row r="30" spans="1:12" ht="31.5" x14ac:dyDescent="0.25">
      <c r="A30" s="324" t="s">
        <v>206</v>
      </c>
      <c r="B30" s="331" t="s">
        <v>373</v>
      </c>
      <c r="C30" s="379" t="s">
        <v>460</v>
      </c>
      <c r="D30" s="379" t="s">
        <v>460</v>
      </c>
      <c r="E30" s="379" t="s">
        <v>460</v>
      </c>
      <c r="F30" s="379" t="s">
        <v>460</v>
      </c>
      <c r="G30" s="379" t="s">
        <v>460</v>
      </c>
      <c r="H30" s="379" t="s">
        <v>460</v>
      </c>
      <c r="I30" s="380"/>
      <c r="J30" s="328"/>
      <c r="K30" s="329"/>
      <c r="L30" s="329"/>
    </row>
    <row r="31" spans="1:12" ht="31.5" x14ac:dyDescent="0.25">
      <c r="A31" s="324" t="s">
        <v>205</v>
      </c>
      <c r="B31" s="332" t="s">
        <v>369</v>
      </c>
      <c r="C31" s="379">
        <v>45474</v>
      </c>
      <c r="D31" s="379">
        <v>45474</v>
      </c>
      <c r="E31" s="394">
        <v>45474</v>
      </c>
      <c r="F31" s="394">
        <v>45474</v>
      </c>
      <c r="G31" s="379">
        <v>45474</v>
      </c>
      <c r="H31" s="379">
        <v>45474</v>
      </c>
      <c r="I31" s="381">
        <v>100</v>
      </c>
      <c r="J31" s="328"/>
      <c r="K31" s="329"/>
      <c r="L31" s="329"/>
    </row>
    <row r="32" spans="1:12" ht="31.5" x14ac:dyDescent="0.25">
      <c r="A32" s="324" t="s">
        <v>203</v>
      </c>
      <c r="B32" s="332" t="s">
        <v>374</v>
      </c>
      <c r="C32" s="379">
        <v>45597</v>
      </c>
      <c r="D32" s="379">
        <v>45597</v>
      </c>
      <c r="E32" s="394">
        <v>45644</v>
      </c>
      <c r="F32" s="394">
        <v>45644</v>
      </c>
      <c r="G32" s="379">
        <v>45597</v>
      </c>
      <c r="H32" s="379">
        <v>45597</v>
      </c>
      <c r="I32" s="381">
        <v>100</v>
      </c>
      <c r="J32" s="381"/>
      <c r="K32" s="329"/>
      <c r="L32" s="329"/>
    </row>
    <row r="33" spans="1:12" ht="47.25" x14ac:dyDescent="0.25">
      <c r="A33" s="324" t="s">
        <v>385</v>
      </c>
      <c r="B33" s="332" t="s">
        <v>301</v>
      </c>
      <c r="C33" s="379" t="s">
        <v>460</v>
      </c>
      <c r="D33" s="379" t="s">
        <v>460</v>
      </c>
      <c r="E33" s="394" t="s">
        <v>460</v>
      </c>
      <c r="F33" s="394" t="s">
        <v>460</v>
      </c>
      <c r="G33" s="379" t="s">
        <v>460</v>
      </c>
      <c r="H33" s="379" t="s">
        <v>460</v>
      </c>
      <c r="I33" s="380"/>
      <c r="J33" s="328"/>
      <c r="K33" s="329"/>
      <c r="L33" s="329"/>
    </row>
    <row r="34" spans="1:12" ht="63" x14ac:dyDescent="0.25">
      <c r="A34" s="324" t="s">
        <v>386</v>
      </c>
      <c r="B34" s="332" t="s">
        <v>378</v>
      </c>
      <c r="C34" s="379" t="s">
        <v>460</v>
      </c>
      <c r="D34" s="379" t="s">
        <v>460</v>
      </c>
      <c r="E34" s="394" t="s">
        <v>460</v>
      </c>
      <c r="F34" s="394" t="s">
        <v>460</v>
      </c>
      <c r="G34" s="379" t="s">
        <v>460</v>
      </c>
      <c r="H34" s="379" t="s">
        <v>460</v>
      </c>
      <c r="I34" s="380"/>
      <c r="J34" s="333"/>
      <c r="K34" s="333"/>
      <c r="L34" s="329"/>
    </row>
    <row r="35" spans="1:12" ht="31.5" x14ac:dyDescent="0.25">
      <c r="A35" s="324" t="s">
        <v>387</v>
      </c>
      <c r="B35" s="332" t="s">
        <v>204</v>
      </c>
      <c r="C35" s="379">
        <v>45597</v>
      </c>
      <c r="D35" s="379">
        <v>45657</v>
      </c>
      <c r="E35" s="396">
        <v>45727</v>
      </c>
      <c r="F35" s="396">
        <v>45727</v>
      </c>
      <c r="G35" s="379">
        <v>45597</v>
      </c>
      <c r="H35" s="379">
        <v>45657</v>
      </c>
      <c r="I35" s="381">
        <v>100</v>
      </c>
      <c r="J35" s="381"/>
      <c r="K35" s="333"/>
      <c r="L35" s="329"/>
    </row>
    <row r="36" spans="1:12" ht="31.5" x14ac:dyDescent="0.25">
      <c r="A36" s="324" t="s">
        <v>388</v>
      </c>
      <c r="B36" s="332" t="s">
        <v>370</v>
      </c>
      <c r="C36" s="379" t="s">
        <v>460</v>
      </c>
      <c r="D36" s="379" t="s">
        <v>460</v>
      </c>
      <c r="E36" s="394" t="s">
        <v>460</v>
      </c>
      <c r="F36" s="394" t="s">
        <v>460</v>
      </c>
      <c r="G36" s="379" t="s">
        <v>460</v>
      </c>
      <c r="H36" s="379" t="s">
        <v>460</v>
      </c>
      <c r="I36" s="380"/>
      <c r="J36" s="334"/>
      <c r="K36" s="329"/>
      <c r="L36" s="329"/>
    </row>
    <row r="37" spans="1:12" ht="15.75" x14ac:dyDescent="0.25">
      <c r="A37" s="324" t="s">
        <v>389</v>
      </c>
      <c r="B37" s="332" t="s">
        <v>202</v>
      </c>
      <c r="C37" s="379">
        <v>45597</v>
      </c>
      <c r="D37" s="379">
        <v>45597</v>
      </c>
      <c r="E37" s="394">
        <v>45644</v>
      </c>
      <c r="F37" s="394">
        <v>45644</v>
      </c>
      <c r="G37" s="379">
        <v>45597</v>
      </c>
      <c r="H37" s="379">
        <v>45597</v>
      </c>
      <c r="I37" s="381">
        <v>100</v>
      </c>
      <c r="J37" s="381"/>
      <c r="K37" s="329"/>
      <c r="L37" s="329"/>
    </row>
    <row r="38" spans="1:12" ht="15.75" x14ac:dyDescent="0.25">
      <c r="A38" s="324" t="s">
        <v>390</v>
      </c>
      <c r="B38" s="326" t="s">
        <v>201</v>
      </c>
      <c r="C38" s="359"/>
      <c r="D38" s="360"/>
      <c r="E38" s="329"/>
      <c r="F38" s="329"/>
      <c r="G38" s="359"/>
      <c r="H38" s="360"/>
      <c r="I38" s="334"/>
      <c r="J38" s="329"/>
      <c r="K38" s="329"/>
      <c r="L38" s="329"/>
    </row>
    <row r="39" spans="1:12" ht="63" x14ac:dyDescent="0.25">
      <c r="A39" s="324">
        <v>2</v>
      </c>
      <c r="B39" s="332" t="s">
        <v>375</v>
      </c>
      <c r="C39" s="358">
        <v>45658</v>
      </c>
      <c r="D39" s="358">
        <v>45746</v>
      </c>
      <c r="E39" s="400">
        <v>45910</v>
      </c>
      <c r="F39" s="400">
        <v>45910</v>
      </c>
      <c r="G39" s="358">
        <v>45658</v>
      </c>
      <c r="H39" s="358">
        <v>45746</v>
      </c>
      <c r="I39" s="381">
        <v>100</v>
      </c>
      <c r="J39" s="381">
        <v>100</v>
      </c>
      <c r="K39" s="329"/>
      <c r="L39" s="329"/>
    </row>
    <row r="40" spans="1:12" ht="15.75" x14ac:dyDescent="0.25">
      <c r="A40" s="324" t="s">
        <v>200</v>
      </c>
      <c r="B40" s="332" t="s">
        <v>377</v>
      </c>
      <c r="C40" s="358" t="s">
        <v>460</v>
      </c>
      <c r="D40" s="358" t="s">
        <v>460</v>
      </c>
      <c r="E40" s="358" t="s">
        <v>460</v>
      </c>
      <c r="F40" s="358" t="s">
        <v>460</v>
      </c>
      <c r="G40" s="358" t="s">
        <v>460</v>
      </c>
      <c r="H40" s="358" t="s">
        <v>460</v>
      </c>
      <c r="I40" s="327"/>
      <c r="J40" s="329"/>
      <c r="K40" s="329"/>
      <c r="L40" s="329"/>
    </row>
    <row r="41" spans="1:12" ht="47.25" x14ac:dyDescent="0.25">
      <c r="A41" s="324" t="s">
        <v>199</v>
      </c>
      <c r="B41" s="326" t="s">
        <v>458</v>
      </c>
      <c r="C41" s="358"/>
      <c r="D41" s="358"/>
      <c r="E41" s="400"/>
      <c r="F41" s="400"/>
      <c r="G41" s="358"/>
      <c r="H41" s="358"/>
      <c r="I41" s="329"/>
      <c r="J41" s="329"/>
      <c r="K41" s="329"/>
      <c r="L41" s="329"/>
    </row>
    <row r="42" spans="1:12" ht="31.5" x14ac:dyDescent="0.25">
      <c r="A42" s="324">
        <v>3</v>
      </c>
      <c r="B42" s="332" t="s">
        <v>376</v>
      </c>
      <c r="C42" s="358" t="s">
        <v>460</v>
      </c>
      <c r="D42" s="358" t="s">
        <v>460</v>
      </c>
      <c r="E42" s="358" t="s">
        <v>460</v>
      </c>
      <c r="F42" s="358" t="s">
        <v>460</v>
      </c>
      <c r="G42" s="358" t="s">
        <v>460</v>
      </c>
      <c r="H42" s="358" t="s">
        <v>460</v>
      </c>
      <c r="I42" s="329"/>
      <c r="J42" s="329"/>
      <c r="K42" s="329"/>
      <c r="L42" s="329"/>
    </row>
    <row r="43" spans="1:12" ht="15.75" x14ac:dyDescent="0.25">
      <c r="A43" s="324" t="s">
        <v>198</v>
      </c>
      <c r="B43" s="332" t="s">
        <v>196</v>
      </c>
      <c r="C43" s="358" t="s">
        <v>460</v>
      </c>
      <c r="D43" s="358" t="s">
        <v>460</v>
      </c>
      <c r="E43" s="358" t="s">
        <v>460</v>
      </c>
      <c r="F43" s="358" t="s">
        <v>460</v>
      </c>
      <c r="G43" s="358" t="s">
        <v>460</v>
      </c>
      <c r="H43" s="358" t="s">
        <v>460</v>
      </c>
      <c r="I43" s="327"/>
      <c r="J43" s="329"/>
      <c r="K43" s="329"/>
      <c r="L43" s="329"/>
    </row>
    <row r="44" spans="1:12" ht="15.75" x14ac:dyDescent="0.25">
      <c r="A44" s="324" t="s">
        <v>197</v>
      </c>
      <c r="B44" s="332" t="s">
        <v>194</v>
      </c>
      <c r="C44" s="358">
        <v>45748</v>
      </c>
      <c r="D44" s="358">
        <v>45930</v>
      </c>
      <c r="E44" s="400">
        <v>45910</v>
      </c>
      <c r="F44" s="400">
        <v>45925</v>
      </c>
      <c r="G44" s="358">
        <v>45748</v>
      </c>
      <c r="H44" s="358">
        <v>45930</v>
      </c>
      <c r="I44" s="381">
        <v>100</v>
      </c>
      <c r="J44" s="381">
        <v>100</v>
      </c>
      <c r="K44" s="329"/>
      <c r="L44" s="329"/>
    </row>
    <row r="45" spans="1:12" ht="78.75" x14ac:dyDescent="0.25">
      <c r="A45" s="324" t="s">
        <v>195</v>
      </c>
      <c r="B45" s="332" t="s">
        <v>381</v>
      </c>
      <c r="C45" s="358" t="s">
        <v>460</v>
      </c>
      <c r="D45" s="358" t="s">
        <v>460</v>
      </c>
      <c r="E45" s="358" t="s">
        <v>460</v>
      </c>
      <c r="F45" s="358" t="s">
        <v>460</v>
      </c>
      <c r="G45" s="358" t="s">
        <v>460</v>
      </c>
      <c r="H45" s="358" t="s">
        <v>460</v>
      </c>
      <c r="I45" s="327"/>
      <c r="J45" s="329"/>
      <c r="K45" s="329"/>
      <c r="L45" s="329"/>
    </row>
    <row r="46" spans="1:12" ht="157.5" x14ac:dyDescent="0.25">
      <c r="A46" s="324" t="s">
        <v>193</v>
      </c>
      <c r="B46" s="332" t="s">
        <v>379</v>
      </c>
      <c r="C46" s="358" t="s">
        <v>460</v>
      </c>
      <c r="D46" s="358" t="s">
        <v>460</v>
      </c>
      <c r="E46" s="358" t="s">
        <v>460</v>
      </c>
      <c r="F46" s="358" t="s">
        <v>460</v>
      </c>
      <c r="G46" s="358" t="s">
        <v>460</v>
      </c>
      <c r="H46" s="358" t="s">
        <v>460</v>
      </c>
      <c r="I46" s="327"/>
      <c r="J46" s="329"/>
      <c r="K46" s="329"/>
      <c r="L46" s="329"/>
    </row>
    <row r="47" spans="1:12" ht="15.75" x14ac:dyDescent="0.25">
      <c r="A47" s="324" t="s">
        <v>191</v>
      </c>
      <c r="B47" s="332" t="s">
        <v>192</v>
      </c>
      <c r="C47" s="358">
        <v>45931</v>
      </c>
      <c r="D47" s="358">
        <v>46022</v>
      </c>
      <c r="E47" s="400">
        <v>45928</v>
      </c>
      <c r="F47" s="400">
        <v>45930</v>
      </c>
      <c r="G47" s="358">
        <v>45931</v>
      </c>
      <c r="H47" s="358">
        <v>46022</v>
      </c>
      <c r="I47" s="381">
        <v>100</v>
      </c>
      <c r="J47" s="381">
        <v>100</v>
      </c>
      <c r="K47" s="329"/>
      <c r="L47" s="329"/>
    </row>
    <row r="48" spans="1:12" ht="31.5" x14ac:dyDescent="0.25">
      <c r="A48" s="324" t="s">
        <v>391</v>
      </c>
      <c r="B48" s="326" t="s">
        <v>190</v>
      </c>
      <c r="C48" s="358"/>
      <c r="D48" s="358"/>
      <c r="E48" s="400"/>
      <c r="F48" s="400"/>
      <c r="G48" s="358"/>
      <c r="H48" s="358"/>
      <c r="I48" s="329"/>
      <c r="J48" s="329"/>
      <c r="K48" s="329"/>
      <c r="L48" s="329"/>
    </row>
    <row r="49" spans="1:12" ht="31.5" x14ac:dyDescent="0.25">
      <c r="A49" s="324">
        <v>4</v>
      </c>
      <c r="B49" s="332" t="s">
        <v>188</v>
      </c>
      <c r="C49" s="358">
        <v>45931</v>
      </c>
      <c r="D49" s="358">
        <v>46022</v>
      </c>
      <c r="E49" s="400">
        <v>45928</v>
      </c>
      <c r="F49" s="400">
        <v>45930</v>
      </c>
      <c r="G49" s="358">
        <v>45931</v>
      </c>
      <c r="H49" s="358">
        <v>46022</v>
      </c>
      <c r="I49" s="381">
        <v>100</v>
      </c>
      <c r="J49" s="381">
        <v>100</v>
      </c>
      <c r="K49" s="329"/>
      <c r="L49" s="329"/>
    </row>
    <row r="50" spans="1:12" ht="78.75" x14ac:dyDescent="0.25">
      <c r="A50" s="324" t="s">
        <v>189</v>
      </c>
      <c r="B50" s="332" t="s">
        <v>380</v>
      </c>
      <c r="C50" s="358">
        <v>45931</v>
      </c>
      <c r="D50" s="358">
        <v>46022</v>
      </c>
      <c r="E50" s="400">
        <v>45930</v>
      </c>
      <c r="F50" s="400">
        <v>45930</v>
      </c>
      <c r="G50" s="358">
        <v>45931</v>
      </c>
      <c r="H50" s="358">
        <v>46022</v>
      </c>
      <c r="I50" s="381">
        <v>100</v>
      </c>
      <c r="J50" s="381">
        <v>100</v>
      </c>
      <c r="K50" s="329"/>
      <c r="L50" s="329"/>
    </row>
    <row r="51" spans="1:12" ht="63" x14ac:dyDescent="0.25">
      <c r="A51" s="324" t="s">
        <v>187</v>
      </c>
      <c r="B51" s="332" t="s">
        <v>382</v>
      </c>
      <c r="C51" s="358" t="s">
        <v>460</v>
      </c>
      <c r="D51" s="358" t="s">
        <v>460</v>
      </c>
      <c r="E51" s="358" t="s">
        <v>460</v>
      </c>
      <c r="F51" s="358" t="s">
        <v>460</v>
      </c>
      <c r="G51" s="358" t="s">
        <v>460</v>
      </c>
      <c r="H51" s="358" t="s">
        <v>460</v>
      </c>
      <c r="I51" s="329"/>
      <c r="J51" s="329"/>
      <c r="K51" s="329"/>
      <c r="L51" s="329"/>
    </row>
    <row r="52" spans="1:12" ht="63" x14ac:dyDescent="0.25">
      <c r="A52" s="324" t="s">
        <v>185</v>
      </c>
      <c r="B52" s="332" t="s">
        <v>186</v>
      </c>
      <c r="C52" s="358" t="s">
        <v>460</v>
      </c>
      <c r="D52" s="358" t="s">
        <v>460</v>
      </c>
      <c r="E52" s="358" t="s">
        <v>460</v>
      </c>
      <c r="F52" s="358" t="s">
        <v>460</v>
      </c>
      <c r="G52" s="358" t="s">
        <v>460</v>
      </c>
      <c r="H52" s="358" t="s">
        <v>460</v>
      </c>
      <c r="I52" s="327"/>
      <c r="J52" s="329"/>
      <c r="K52" s="329"/>
      <c r="L52" s="329"/>
    </row>
    <row r="53" spans="1:12" ht="31.5" x14ac:dyDescent="0.25">
      <c r="A53" s="324" t="s">
        <v>183</v>
      </c>
      <c r="B53" s="93" t="s">
        <v>383</v>
      </c>
      <c r="C53" s="358">
        <v>45931</v>
      </c>
      <c r="D53" s="358">
        <v>46022</v>
      </c>
      <c r="E53" s="400">
        <v>45930</v>
      </c>
      <c r="F53" s="400">
        <v>45930</v>
      </c>
      <c r="G53" s="358">
        <v>45931</v>
      </c>
      <c r="H53" s="358">
        <v>46022</v>
      </c>
      <c r="I53" s="381">
        <v>100</v>
      </c>
      <c r="J53" s="381">
        <v>100</v>
      </c>
      <c r="K53" s="329"/>
      <c r="L53" s="329"/>
    </row>
    <row r="54" spans="1:12" ht="31.5" x14ac:dyDescent="0.25">
      <c r="A54" s="324" t="s">
        <v>384</v>
      </c>
      <c r="B54" s="332" t="s">
        <v>184</v>
      </c>
      <c r="C54" s="358" t="s">
        <v>460</v>
      </c>
      <c r="D54" s="358" t="s">
        <v>460</v>
      </c>
      <c r="E54" s="358" t="s">
        <v>460</v>
      </c>
      <c r="F54" s="358" t="s">
        <v>460</v>
      </c>
      <c r="G54" s="358" t="s">
        <v>460</v>
      </c>
      <c r="H54" s="358" t="s">
        <v>460</v>
      </c>
      <c r="I54" s="329"/>
      <c r="J54" s="329"/>
      <c r="K54" s="329"/>
      <c r="L54" s="329"/>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2025-11-10T09:03:29Z</dcterms:modified>
</cp:coreProperties>
</file>